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ra Quincena" sheetId="1" r:id="rId4"/>
    <sheet state="visible" name="2da Quincena" sheetId="2" r:id="rId5"/>
    <sheet state="visible" name="Aguinaldo" sheetId="3" r:id="rId6"/>
  </sheets>
  <definedNames/>
  <calcPr/>
  <extLst>
    <ext uri="GoogleSheetsCustomDataVersion1">
      <go:sheetsCustomData xmlns:go="http://customooxmlschemas.google.com/" r:id="rId7" roundtripDataSignature="AMtx7mh4myI1JLRC95WCU1q3dZa5C1/+Kw=="/>
    </ext>
  </extLst>
</workbook>
</file>

<file path=xl/sharedStrings.xml><?xml version="1.0" encoding="utf-8"?>
<sst xmlns="http://schemas.openxmlformats.org/spreadsheetml/2006/main" count="515" uniqueCount="161">
  <si>
    <t>1RA  DICIEMBRE   2021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</si>
  <si>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</si>
  <si>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</si>
  <si>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</si>
  <si>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</si>
  <si>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</si>
  <si>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</si>
  <si>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</si>
  <si>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</si>
  <si>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</si>
  <si>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</si>
  <si>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</si>
  <si>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</si>
  <si>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</si>
  <si>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</si>
  <si>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</si>
  <si>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</si>
  <si>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</si>
  <si>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</si>
  <si>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</si>
  <si>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</si>
  <si>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</si>
  <si>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</si>
  <si>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</si>
  <si>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</si>
  <si>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</si>
  <si>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</si>
  <si>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</si>
  <si>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</si>
  <si>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</si>
  <si>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</si>
  <si>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</si>
  <si>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</si>
  <si>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</si>
  <si>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</si>
  <si>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</si>
  <si>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</si>
  <si>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</si>
  <si>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</si>
  <si>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</si>
  <si>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</si>
  <si>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</si>
  <si>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</si>
  <si>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</si>
  <si>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</si>
  <si>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</si>
  <si>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</si>
  <si>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</si>
  <si>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</si>
  <si>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</si>
  <si>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</si>
  <si>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</si>
  <si>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</si>
  <si>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</si>
  <si>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</si>
  <si>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</si>
  <si>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</si>
  <si>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</si>
  <si>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</si>
  <si>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</si>
  <si>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</si>
  <si>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</si>
  <si>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</si>
  <si>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</si>
  <si>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</si>
  <si>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</si>
  <si>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JA43</t>
  </si>
  <si>
    <t>Leon Hernandez Irene Guadalupe</t>
  </si>
  <si>
    <t>Auxiliar Administrativo</t>
  </si>
  <si>
    <t>JA44</t>
  </si>
  <si>
    <t>Lopez Aranda Lisette Amparo</t>
  </si>
  <si>
    <t>JA45</t>
  </si>
  <si>
    <t>Flores Pozos Julio Cesar</t>
  </si>
  <si>
    <t>Coordinacion Financiera y Contable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</si>
  <si>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</si>
  <si>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</si>
  <si>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</si>
  <si>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</si>
  <si>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</si>
  <si>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</si>
  <si>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</si>
  <si>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</si>
  <si>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</si>
  <si>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</si>
  <si>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</si>
  <si>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</si>
  <si>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</si>
  <si>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</si>
  <si>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</si>
  <si>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</si>
  <si>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</si>
  <si>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</si>
  <si>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</si>
  <si>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</si>
  <si>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</si>
  <si>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</si>
  <si>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</si>
  <si>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</si>
  <si>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</si>
  <si>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</si>
  <si>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</si>
  <si>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</si>
  <si>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</si>
  <si>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</si>
  <si>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</si>
  <si>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</si>
  <si>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>AE23</t>
  </si>
  <si>
    <t>Flores Orozco Carolina</t>
  </si>
  <si>
    <t>Terapeuta (A y L)</t>
  </si>
  <si>
    <t>AE24</t>
  </si>
  <si>
    <t>Ortiz Anguiano Nélida Guadalupe</t>
  </si>
  <si>
    <t>AE25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</si>
  <si>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</si>
  <si>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</si>
  <si>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</si>
  <si>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</si>
  <si>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</si>
  <si>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</si>
  <si>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</si>
  <si>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</si>
  <si>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</si>
  <si>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</si>
  <si>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</si>
  <si>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</si>
  <si>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</si>
  <si>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</si>
  <si>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</si>
  <si>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</si>
  <si>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</si>
  <si>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</si>
  <si>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</si>
  <si>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</si>
  <si>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</si>
  <si>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</si>
  <si>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</si>
  <si>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</si>
  <si>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</si>
  <si>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</si>
  <si>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</si>
  <si>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</si>
  <si>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</si>
  <si>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</si>
  <si>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</si>
  <si>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</si>
  <si>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</si>
  <si>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</si>
  <si>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</si>
  <si>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</si>
  <si>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</si>
  <si>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</si>
  <si>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</si>
  <si>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</si>
  <si>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 DICIEMBRE   2021</t>
  </si>
  <si>
    <t>PRIMA VACACIONAL</t>
  </si>
  <si>
    <t>ISR A COMPENSAR</t>
  </si>
  <si>
    <t>Aguinaldo   2021</t>
  </si>
  <si>
    <t>Fecha de ingreso</t>
  </si>
  <si>
    <t>Sueldo Diario</t>
  </si>
  <si>
    <t>Aguinaldo</t>
  </si>
  <si>
    <t>Coordinador Financiero Contable</t>
  </si>
  <si>
    <t xml:space="preserve">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</si>
</sst>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* #,##0.00_-;\-&quot;$&quot;* #,##0.00_-;_-&quot;$&quot;* &quot;-&quot;??_-;_-@"/>
  </numFmts>
  <fonts count="16">
    <font>
      <sz val="11.0"/>
      <color theme="1"/>
      <name val="Calibri"/>
    </font>
    <font>
      <sz val="12.0"/>
      <color theme="1"/>
      <name val="Calibri"/>
    </font>
    <font>
      <b/>
      <sz val="14.0"/>
      <color theme="1"/>
      <name val="Calibri"/>
    </font>
    <font/>
    <font>
      <b/>
      <sz val="8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b/>
      <sz val="8.0"/>
      <color theme="1"/>
      <name val="Calibri"/>
    </font>
    <font>
      <b/>
      <sz val="16.0"/>
      <color theme="1"/>
      <name val="Calibri"/>
    </font>
    <font>
      <b/>
      <sz val="11.0"/>
      <color rgb="FFFF0000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sz val="14.0"/>
      <color theme="1"/>
      <name val="Calibri"/>
    </font>
    <font>
      <color theme="1"/>
      <name val="Calibri"/>
    </font>
    <font>
      <sz val="9.0"/>
      <color theme="1"/>
      <name val="Calibri"/>
    </font>
    <font>
      <b/>
      <sz val="10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CCC0D9"/>
        <bgColor rgb="FFCCC0D9"/>
      </patternFill>
    </fill>
    <fill>
      <patternFill patternType="solid">
        <fgColor rgb="FF95B3D7"/>
        <bgColor rgb="FF95B3D7"/>
      </patternFill>
    </fill>
    <fill>
      <patternFill patternType="solid">
        <fgColor rgb="FFC4E01A"/>
        <bgColor rgb="FFC4E01A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18">
    <border/>
    <border>
      <bottom style="thin">
        <color rgb="FF953734"/>
      </bottom>
    </border>
    <border>
      <left style="thin">
        <color rgb="FFFF0000"/>
      </left>
      <right style="thin">
        <color rgb="FFFF0000"/>
      </right>
      <top style="thin">
        <color rgb="FF953734"/>
      </top>
      <bottom style="thin">
        <color rgb="FFFF0000"/>
      </bottom>
    </border>
    <border>
      <left style="thin">
        <color rgb="FFFF0000"/>
      </left>
      <right style="thin">
        <color rgb="FF953734"/>
      </right>
      <top style="thin">
        <color rgb="FF953734"/>
      </top>
      <bottom/>
    </border>
    <border>
      <left style="thin">
        <color rgb="FF953734"/>
      </left>
      <right style="thin">
        <color rgb="FF953734"/>
      </right>
      <top style="thin">
        <color rgb="FF953734"/>
      </top>
      <bottom/>
    </border>
    <border>
      <left/>
      <right/>
      <top/>
      <bottom/>
    </border>
    <border>
      <left style="thin">
        <color rgb="FF953734"/>
      </left>
      <right/>
      <top style="thin">
        <color rgb="FF953734"/>
      </top>
      <bottom style="thin">
        <color rgb="FF953734"/>
      </bottom>
    </border>
    <border>
      <left style="thin">
        <color rgb="FFFF0000"/>
      </left>
      <right/>
      <top style="thin">
        <color rgb="FF0000FD"/>
      </top>
      <bottom/>
    </border>
    <border>
      <left style="thin">
        <color rgb="FFFF0000"/>
      </left>
      <right style="thin">
        <color rgb="FF953734"/>
      </right>
      <top style="thin">
        <color rgb="FF953734"/>
      </top>
      <bottom style="thin">
        <color rgb="FF953734"/>
      </bottom>
    </border>
    <border>
      <left style="thin">
        <color rgb="FFFF0000"/>
      </left>
      <right/>
      <top/>
      <bottom/>
    </border>
    <border>
      <left style="thin">
        <color rgb="FF953734"/>
      </left>
      <right/>
      <top style="thin">
        <color rgb="FF953734"/>
      </top>
      <bottom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</border>
    <border>
      <left/>
      <right/>
      <top style="thin">
        <color rgb="FF953734"/>
      </top>
      <bottom/>
    </border>
    <border>
      <left style="thin">
        <color rgb="FF953734"/>
      </left>
      <right style="thin">
        <color rgb="FF953734"/>
      </right>
      <top style="thin">
        <color rgb="FF953734"/>
      </top>
      <bottom style="thin">
        <color rgb="FFFF0000"/>
      </bottom>
    </border>
    <border>
      <top style="thin">
        <color rgb="FFFF0000"/>
      </top>
    </border>
    <border>
      <top style="thin">
        <color rgb="FF953734"/>
      </top>
    </border>
    <border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0" fillId="0" fontId="1" numFmtId="0" xfId="0" applyFont="1"/>
    <xf borderId="0" fillId="0" fontId="0" numFmtId="4" xfId="0" applyFont="1" applyNumberFormat="1"/>
    <xf borderId="0" fillId="0" fontId="1" numFmtId="4" xfId="0" applyFont="1" applyNumberFormat="1"/>
    <xf borderId="1" fillId="0" fontId="2" numFmtId="0" xfId="0" applyAlignment="1" applyBorder="1" applyFont="1">
      <alignment horizontal="center" vertical="center"/>
    </xf>
    <xf borderId="1" fillId="0" fontId="3" numFmtId="0" xfId="0" applyBorder="1" applyFont="1"/>
    <xf borderId="0" fillId="0" fontId="0" numFmtId="0" xfId="0" applyAlignment="1" applyFont="1">
      <alignment horizontal="center" vertical="center"/>
    </xf>
    <xf borderId="2" fillId="2" fontId="4" numFmtId="49" xfId="0" applyAlignment="1" applyBorder="1" applyFill="1" applyFont="1" applyNumberFormat="1">
      <alignment horizontal="center" shrinkToFit="0" vertical="center" wrapText="1"/>
    </xf>
    <xf borderId="3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vertical="center" wrapText="1"/>
    </xf>
    <xf borderId="5" fillId="2" fontId="4" numFmtId="4" xfId="0" applyAlignment="1" applyBorder="1" applyFont="1" applyNumberFormat="1">
      <alignment horizontal="center" shrinkToFit="0" vertical="center" wrapText="1"/>
    </xf>
    <xf borderId="6" fillId="2" fontId="4" numFmtId="4" xfId="0" applyAlignment="1" applyBorder="1" applyFont="1" applyNumberFormat="1">
      <alignment horizontal="center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8" fillId="2" fontId="4" numFmtId="0" xfId="0" applyAlignment="1" applyBorder="1" applyFont="1">
      <alignment horizontal="center" shrinkToFit="0" vertical="center" wrapText="1"/>
    </xf>
    <xf borderId="9" fillId="2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shrinkToFit="0" vertical="center" wrapText="1"/>
    </xf>
    <xf borderId="10" fillId="2" fontId="4" numFmtId="0" xfId="0" applyAlignment="1" applyBorder="1" applyFont="1">
      <alignment horizontal="center" shrinkToFit="0" vertical="center" wrapText="1"/>
    </xf>
    <xf borderId="6" fillId="2" fontId="4" numFmtId="0" xfId="0" applyAlignment="1" applyBorder="1" applyFont="1">
      <alignment horizontal="center" shrinkToFit="0" vertical="center" wrapText="1"/>
    </xf>
    <xf borderId="10" fillId="2" fontId="4" numFmtId="4" xfId="0" applyAlignment="1" applyBorder="1" applyFont="1" applyNumberFormat="1">
      <alignment horizontal="center" shrinkToFit="0" vertical="center" wrapText="1"/>
    </xf>
    <xf borderId="11" fillId="2" fontId="5" numFmtId="4" xfId="0" applyAlignment="1" applyBorder="1" applyFont="1" applyNumberFormat="1">
      <alignment horizontal="center" shrinkToFit="0" vertical="center" wrapText="1"/>
    </xf>
    <xf borderId="12" fillId="2" fontId="4" numFmtId="4" xfId="0" applyAlignment="1" applyBorder="1" applyFont="1" applyNumberFormat="1">
      <alignment horizontal="center" shrinkToFit="0" vertical="center" wrapText="1"/>
    </xf>
    <xf borderId="13" fillId="2" fontId="6" numFmtId="4" xfId="0" applyAlignment="1" applyBorder="1" applyFont="1" applyNumberFormat="1">
      <alignment horizontal="center" shrinkToFit="0" vertical="center" wrapText="1"/>
    </xf>
    <xf borderId="13" fillId="2" fontId="4" numFmtId="0" xfId="0" applyAlignment="1" applyBorder="1" applyFont="1">
      <alignment horizontal="center" shrinkToFit="0" vertical="center" wrapText="1"/>
    </xf>
    <xf borderId="0" fillId="0" fontId="7" numFmtId="0" xfId="0" applyFont="1"/>
    <xf borderId="14" fillId="0" fontId="7" numFmtId="0" xfId="0" applyBorder="1" applyFont="1"/>
    <xf borderId="15" fillId="0" fontId="0" numFmtId="4" xfId="0" applyBorder="1" applyFont="1" applyNumberFormat="1"/>
    <xf borderId="14" fillId="0" fontId="0" numFmtId="4" xfId="0" applyBorder="1" applyFont="1" applyNumberFormat="1"/>
    <xf borderId="0" fillId="0" fontId="0" numFmtId="0" xfId="0" applyAlignment="1" applyFont="1">
      <alignment horizontal="center"/>
    </xf>
    <xf borderId="5" fillId="3" fontId="0" numFmtId="4" xfId="0" applyBorder="1" applyFill="1" applyFont="1" applyNumberFormat="1"/>
    <xf borderId="0" fillId="0" fontId="8" numFmtId="4" xfId="0" applyFont="1" applyNumberFormat="1"/>
    <xf borderId="0" fillId="0" fontId="0" numFmtId="2" xfId="0" applyFont="1" applyNumberFormat="1"/>
    <xf borderId="5" fillId="4" fontId="0" numFmtId="2" xfId="0" applyBorder="1" applyFill="1" applyFont="1" applyNumberFormat="1"/>
    <xf borderId="0" fillId="0" fontId="0" numFmtId="164" xfId="0" applyFont="1" applyNumberFormat="1"/>
    <xf borderId="0" fillId="0" fontId="9" numFmtId="4" xfId="0" applyAlignment="1" applyFont="1" applyNumberFormat="1">
      <alignment horizontal="center"/>
    </xf>
    <xf borderId="0" fillId="0" fontId="7" numFmtId="0" xfId="0" applyAlignment="1" applyFont="1">
      <alignment horizontal="left"/>
    </xf>
    <xf borderId="0" fillId="0" fontId="10" numFmtId="0" xfId="0" applyFont="1"/>
    <xf borderId="0" fillId="0" fontId="11" numFmtId="0" xfId="0" applyFont="1"/>
    <xf borderId="5" fillId="5" fontId="2" numFmtId="164" xfId="0" applyBorder="1" applyFill="1" applyFont="1" applyNumberFormat="1"/>
    <xf borderId="0" fillId="0" fontId="12" numFmtId="4" xfId="0" applyFont="1" applyNumberFormat="1"/>
    <xf borderId="5" fillId="6" fontId="0" numFmtId="4" xfId="0" applyBorder="1" applyFill="1" applyFont="1" applyNumberFormat="1"/>
    <xf borderId="5" fillId="7" fontId="8" numFmtId="4" xfId="0" applyBorder="1" applyFill="1" applyFont="1" applyNumberFormat="1"/>
    <xf borderId="5" fillId="3" fontId="0" numFmtId="164" xfId="0" applyBorder="1" applyFont="1" applyNumberFormat="1"/>
    <xf borderId="0" fillId="0" fontId="13" numFmtId="0" xfId="0" applyFont="1"/>
    <xf borderId="5" fillId="4" fontId="0" numFmtId="4" xfId="0" applyBorder="1" applyFont="1" applyNumberFormat="1"/>
    <xf borderId="5" fillId="8" fontId="8" numFmtId="4" xfId="0" applyBorder="1" applyFill="1" applyFont="1" applyNumberFormat="1"/>
    <xf borderId="5" fillId="9" fontId="0" numFmtId="4" xfId="0" applyBorder="1" applyFill="1" applyFont="1" applyNumberFormat="1"/>
    <xf borderId="5" fillId="6" fontId="12" numFmtId="4" xfId="0" applyBorder="1" applyFont="1" applyNumberFormat="1"/>
    <xf borderId="0" fillId="0" fontId="0" numFmtId="0" xfId="0" applyAlignment="1" applyFont="1">
      <alignment shrinkToFit="0" wrapText="1"/>
    </xf>
    <xf borderId="0" fillId="0" fontId="11" numFmtId="4" xfId="0" applyFont="1" applyNumberFormat="1"/>
    <xf borderId="0" fillId="0" fontId="2" numFmtId="4" xfId="0" applyFont="1" applyNumberFormat="1"/>
    <xf borderId="0" fillId="0" fontId="11" numFmtId="164" xfId="0" applyFont="1" applyNumberFormat="1"/>
    <xf borderId="0" fillId="0" fontId="12" numFmtId="0" xfId="0" applyFont="1"/>
    <xf borderId="0" fillId="0" fontId="2" numFmtId="0" xfId="0" applyAlignment="1" applyFont="1">
      <alignment horizontal="right"/>
    </xf>
    <xf borderId="5" fillId="10" fontId="2" numFmtId="4" xfId="0" applyBorder="1" applyFill="1" applyFont="1" applyNumberFormat="1"/>
    <xf borderId="0" fillId="0" fontId="1" numFmtId="164" xfId="0" applyFont="1" applyNumberFormat="1"/>
    <xf borderId="16" fillId="0" fontId="0" numFmtId="0" xfId="0" applyAlignment="1" applyBorder="1" applyFont="1">
      <alignment horizontal="center"/>
    </xf>
    <xf borderId="16" fillId="0" fontId="3" numFmtId="0" xfId="0" applyBorder="1" applyFont="1"/>
    <xf borderId="17" fillId="0" fontId="14" numFmtId="0" xfId="0" applyAlignment="1" applyBorder="1" applyFont="1">
      <alignment horizontal="center"/>
    </xf>
    <xf borderId="17" fillId="0" fontId="3" numFmtId="0" xfId="0" applyBorder="1" applyFont="1"/>
    <xf borderId="5" fillId="2" fontId="15" numFmtId="0" xfId="0" applyAlignment="1" applyBorder="1" applyFont="1">
      <alignment horizontal="center" shrinkToFit="0" vertical="center" wrapText="1"/>
    </xf>
    <xf borderId="5" fillId="2" fontId="15" numFmtId="4" xfId="0" applyAlignment="1" applyBorder="1" applyFont="1" applyNumberFormat="1">
      <alignment horizontal="center" shrinkToFit="0" vertical="center" wrapText="1"/>
    </xf>
    <xf borderId="0" fillId="0" fontId="0" numFmtId="14" xfId="0" applyFont="1" applyNumberFormat="1"/>
    <xf borderId="0" fillId="0" fontId="0" numFmtId="14" xfId="0" applyAlignment="1" applyFont="1" applyNumberFormat="1">
      <alignment shrinkToFit="0" wrapText="1"/>
    </xf>
    <xf borderId="5" fillId="9" fontId="1" numFmtId="0" xfId="0" applyBorder="1" applyFont="1"/>
    <xf borderId="0" fillId="0" fontId="1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0</xdr:rowOff>
    </xdr:from>
    <xdr:ext cx="1190625" cy="7239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0</xdr:rowOff>
    </xdr:from>
    <xdr:ext cx="1190625" cy="7239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0</xdr:row>
      <xdr:rowOff>0</xdr:rowOff>
    </xdr:from>
    <xdr:ext cx="1190625" cy="7239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34.0"/>
    <col customWidth="1" min="4" max="4" width="33.14"/>
    <col customWidth="1" min="5" max="27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>
      <c r="A4" s="1"/>
      <c r="B4" s="5" t="s">
        <v>0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7"/>
      <c r="B5" s="8" t="s">
        <v>1</v>
      </c>
      <c r="C5" s="9" t="s">
        <v>2</v>
      </c>
      <c r="D5" s="10" t="s">
        <v>3</v>
      </c>
      <c r="E5" s="11" t="s">
        <v>4</v>
      </c>
      <c r="F5" s="12" t="s">
        <v>5</v>
      </c>
      <c r="G5" s="13" t="s">
        <v>6</v>
      </c>
      <c r="H5" s="14" t="s">
        <v>7</v>
      </c>
      <c r="I5" s="15" t="s">
        <v>8</v>
      </c>
      <c r="J5" s="13" t="s">
        <v>9</v>
      </c>
      <c r="K5" s="13" t="s">
        <v>10</v>
      </c>
      <c r="L5" s="16" t="s">
        <v>11</v>
      </c>
      <c r="M5" s="16" t="s">
        <v>12</v>
      </c>
      <c r="N5" s="17" t="s">
        <v>13</v>
      </c>
      <c r="O5" s="10" t="s">
        <v>14</v>
      </c>
      <c r="P5" s="10" t="s">
        <v>15</v>
      </c>
      <c r="Q5" s="18" t="s">
        <v>16</v>
      </c>
      <c r="R5" s="12" t="s">
        <v>17</v>
      </c>
      <c r="S5" s="12" t="s">
        <v>18</v>
      </c>
      <c r="T5" s="19" t="s">
        <v>19</v>
      </c>
      <c r="U5" s="20" t="s">
        <v>20</v>
      </c>
      <c r="V5" s="21" t="s">
        <v>21</v>
      </c>
      <c r="W5" s="22" t="s">
        <v>22</v>
      </c>
      <c r="X5" s="18" t="s">
        <v>23</v>
      </c>
      <c r="Y5" s="18" t="s">
        <v>24</v>
      </c>
      <c r="Z5" s="23" t="s">
        <v>25</v>
      </c>
      <c r="AA5" s="23" t="s">
        <v>26</v>
      </c>
    </row>
    <row r="6">
      <c r="A6" s="1"/>
      <c r="B6" s="24" t="s">
        <v>27</v>
      </c>
      <c r="C6" s="25" t="s">
        <v>28</v>
      </c>
      <c r="D6" s="25"/>
      <c r="E6" s="26"/>
      <c r="F6" s="3"/>
      <c r="G6" s="27"/>
      <c r="H6" s="3"/>
      <c r="I6" s="3"/>
      <c r="J6" s="3"/>
      <c r="K6" s="3"/>
      <c r="L6" s="3"/>
      <c r="M6" s="3"/>
      <c r="N6" s="26"/>
      <c r="O6" s="26"/>
      <c r="P6" s="26"/>
      <c r="Q6" s="3"/>
      <c r="R6" s="3"/>
      <c r="S6" s="3"/>
      <c r="T6" s="26"/>
      <c r="U6" s="3"/>
      <c r="V6" s="26"/>
      <c r="W6" s="4"/>
      <c r="X6" s="1"/>
      <c r="Y6" s="1"/>
      <c r="Z6" s="1"/>
      <c r="AA6" s="1"/>
    </row>
    <row r="7">
      <c r="A7" s="1"/>
      <c r="B7" s="1" t="s">
        <v>29</v>
      </c>
      <c r="C7" s="2" t="s">
        <v>30</v>
      </c>
      <c r="D7" s="1" t="s">
        <v>31</v>
      </c>
      <c r="E7" s="3">
        <v>24148.8</v>
      </c>
      <c r="F7" s="28">
        <v>15.0</v>
      </c>
      <c r="G7" s="3"/>
      <c r="H7" s="3"/>
      <c r="I7" s="3"/>
      <c r="J7" s="3"/>
      <c r="K7" s="3"/>
      <c r="L7" s="3"/>
      <c r="M7" s="3"/>
      <c r="N7" s="3"/>
      <c r="O7" s="3"/>
      <c r="P7" s="3">
        <f t="shared" ref="P7:P8" si="1">E7+-N7</f>
        <v>24148.8</v>
      </c>
      <c r="Q7" s="3">
        <v>0.0</v>
      </c>
      <c r="R7" s="3"/>
      <c r="S7" s="3">
        <v>4885.82</v>
      </c>
      <c r="T7" s="3">
        <v>0.07</v>
      </c>
      <c r="U7" s="29">
        <f t="shared" ref="U7:U8" si="2">ROUND(E7*0.115,2)</f>
        <v>2777.11</v>
      </c>
      <c r="V7" s="3">
        <f t="shared" ref="V7:V8" si="3">SUM(S7:U7)+G7</f>
        <v>7663</v>
      </c>
      <c r="W7" s="30">
        <f t="shared" ref="W7:W8" si="4">P7-V7</f>
        <v>16485.8</v>
      </c>
      <c r="X7" s="31">
        <v>902.24</v>
      </c>
      <c r="Y7" s="3">
        <f t="shared" ref="Y7:Y8" si="5">+E7*17.5%+E7*3%</f>
        <v>4950.504</v>
      </c>
      <c r="Z7" s="32">
        <f t="shared" ref="Z7:Z8" si="6">ROUND(+E7*2%,2)</f>
        <v>482.98</v>
      </c>
      <c r="AA7" s="33">
        <f t="shared" ref="AA7:AA8" si="7">SUM(X7:Z7)</f>
        <v>6335.724</v>
      </c>
    </row>
    <row r="8">
      <c r="A8" s="1"/>
      <c r="B8" s="1" t="s">
        <v>32</v>
      </c>
      <c r="C8" s="2" t="s">
        <v>33</v>
      </c>
      <c r="D8" s="1" t="s">
        <v>34</v>
      </c>
      <c r="E8" s="3">
        <v>6705.32</v>
      </c>
      <c r="F8" s="28">
        <v>15.0</v>
      </c>
      <c r="G8" s="3"/>
      <c r="H8" s="3"/>
      <c r="I8" s="3"/>
      <c r="J8" s="3"/>
      <c r="K8" s="3"/>
      <c r="L8" s="3"/>
      <c r="M8" s="3"/>
      <c r="N8" s="34"/>
      <c r="O8" s="3"/>
      <c r="P8" s="3">
        <f t="shared" si="1"/>
        <v>6705.32</v>
      </c>
      <c r="Q8" s="3">
        <v>0.0</v>
      </c>
      <c r="R8" s="3"/>
      <c r="S8" s="3">
        <v>721.12</v>
      </c>
      <c r="T8" s="3">
        <v>0.09</v>
      </c>
      <c r="U8" s="29">
        <f t="shared" si="2"/>
        <v>771.11</v>
      </c>
      <c r="V8" s="3">
        <f t="shared" si="3"/>
        <v>1492.32</v>
      </c>
      <c r="W8" s="30">
        <f t="shared" si="4"/>
        <v>5213</v>
      </c>
      <c r="X8" s="31">
        <v>410.06</v>
      </c>
      <c r="Y8" s="3">
        <f t="shared" si="5"/>
        <v>1374.5906</v>
      </c>
      <c r="Z8" s="32">
        <f t="shared" si="6"/>
        <v>134.11</v>
      </c>
      <c r="AA8" s="33">
        <f t="shared" si="7"/>
        <v>1918.7606</v>
      </c>
    </row>
    <row r="9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0</v>
      </c>
      <c r="H9" s="38"/>
      <c r="I9" s="38"/>
      <c r="J9" s="38"/>
      <c r="K9" s="38"/>
      <c r="L9" s="38"/>
      <c r="M9" s="38"/>
      <c r="N9" s="38">
        <f t="shared" ref="N9:AA9" si="8">SUM(N7:N8)</f>
        <v>0</v>
      </c>
      <c r="O9" s="38">
        <f t="shared" si="8"/>
        <v>0</v>
      </c>
      <c r="P9" s="38">
        <f t="shared" si="8"/>
        <v>30854.12</v>
      </c>
      <c r="Q9" s="38">
        <f t="shared" si="8"/>
        <v>0</v>
      </c>
      <c r="R9" s="38">
        <f t="shared" si="8"/>
        <v>0</v>
      </c>
      <c r="S9" s="38">
        <f t="shared" si="8"/>
        <v>5606.94</v>
      </c>
      <c r="T9" s="38">
        <f t="shared" si="8"/>
        <v>0.16</v>
      </c>
      <c r="U9" s="38">
        <f t="shared" si="8"/>
        <v>3548.22</v>
      </c>
      <c r="V9" s="38">
        <f t="shared" si="8"/>
        <v>9155.32</v>
      </c>
      <c r="W9" s="38">
        <f t="shared" si="8"/>
        <v>21698.8</v>
      </c>
      <c r="X9" s="38">
        <f t="shared" si="8"/>
        <v>1312.3</v>
      </c>
      <c r="Y9" s="38">
        <f t="shared" si="8"/>
        <v>6325.0946</v>
      </c>
      <c r="Z9" s="38">
        <f t="shared" si="8"/>
        <v>617.09</v>
      </c>
      <c r="AA9" s="38">
        <f t="shared" si="8"/>
        <v>8254.4846</v>
      </c>
    </row>
    <row r="10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>
      <c r="A11" s="1"/>
      <c r="B11" s="24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>
      <c r="A12" s="1"/>
      <c r="B12" s="1" t="s">
        <v>38</v>
      </c>
      <c r="C12" s="2" t="s">
        <v>39</v>
      </c>
      <c r="D12" s="1" t="s">
        <v>40</v>
      </c>
      <c r="E12" s="3">
        <v>14250.0</v>
      </c>
      <c r="F12" s="28">
        <v>15.0</v>
      </c>
      <c r="G12" s="3"/>
      <c r="H12" s="3"/>
      <c r="I12" s="3"/>
      <c r="J12" s="3"/>
      <c r="K12" s="3"/>
      <c r="L12" s="3"/>
      <c r="M12" s="3"/>
      <c r="N12" s="3"/>
      <c r="O12" s="3"/>
      <c r="P12" s="3">
        <f t="shared" ref="P12:P13" si="9">E12+-N12</f>
        <v>14250</v>
      </c>
      <c r="Q12" s="3">
        <v>0.0</v>
      </c>
      <c r="R12" s="3"/>
      <c r="S12" s="3">
        <v>2352.86</v>
      </c>
      <c r="T12" s="3">
        <v>-0.01</v>
      </c>
      <c r="U12" s="29">
        <f t="shared" ref="U12:U13" si="10">ROUND(E12*0.115,2)</f>
        <v>1638.75</v>
      </c>
      <c r="V12" s="3">
        <f t="shared" ref="V12:V13" si="11">SUM(S12:U12)+G12</f>
        <v>3991.6</v>
      </c>
      <c r="W12" s="30">
        <f t="shared" ref="W12:W13" si="12">P12-V12</f>
        <v>10258.4</v>
      </c>
      <c r="X12" s="31">
        <v>622.94</v>
      </c>
      <c r="Y12" s="3">
        <f t="shared" ref="Y12:Y13" si="13">ROUND(+E12*17.5%,2)+ROUND(E12*3%,2)</f>
        <v>2921.25</v>
      </c>
      <c r="Z12" s="32">
        <f t="shared" ref="Z12:Z13" si="14">ROUND(+E12*2%,2)</f>
        <v>285</v>
      </c>
      <c r="AA12" s="33">
        <f t="shared" ref="AA12:AA13" si="15">SUM(X12:Z12)</f>
        <v>3829.19</v>
      </c>
    </row>
    <row r="13">
      <c r="A13" s="1"/>
      <c r="B13" s="1" t="s">
        <v>41</v>
      </c>
      <c r="C13" s="2" t="s">
        <v>42</v>
      </c>
      <c r="D13" s="1" t="s">
        <v>43</v>
      </c>
      <c r="E13" s="3">
        <v>12499.95</v>
      </c>
      <c r="F13" s="28">
        <v>15.0</v>
      </c>
      <c r="G13" s="3"/>
      <c r="H13" s="3"/>
      <c r="I13" s="3"/>
      <c r="J13" s="3"/>
      <c r="K13" s="3"/>
      <c r="L13" s="3"/>
      <c r="M13" s="3"/>
      <c r="N13" s="34"/>
      <c r="O13" s="3"/>
      <c r="P13" s="3">
        <f t="shared" si="9"/>
        <v>12499.95</v>
      </c>
      <c r="Q13" s="3">
        <v>0.0</v>
      </c>
      <c r="R13" s="3"/>
      <c r="S13" s="3">
        <v>1958.89</v>
      </c>
      <c r="T13" s="3">
        <v>-0.03</v>
      </c>
      <c r="U13" s="29">
        <f t="shared" si="10"/>
        <v>1437.49</v>
      </c>
      <c r="V13" s="3">
        <f t="shared" si="11"/>
        <v>3396.35</v>
      </c>
      <c r="W13" s="30">
        <f t="shared" si="12"/>
        <v>9103.6</v>
      </c>
      <c r="X13" s="31">
        <v>573.56</v>
      </c>
      <c r="Y13" s="3">
        <f t="shared" si="13"/>
        <v>2562.49</v>
      </c>
      <c r="Z13" s="32">
        <f t="shared" si="14"/>
        <v>250</v>
      </c>
      <c r="AA13" s="33">
        <f t="shared" si="15"/>
        <v>3386.05</v>
      </c>
    </row>
    <row r="14">
      <c r="A14" s="1"/>
      <c r="B14" s="1" t="s">
        <v>41</v>
      </c>
      <c r="C14" s="2" t="s">
        <v>44</v>
      </c>
      <c r="D14" s="1" t="s">
        <v>45</v>
      </c>
      <c r="E14" s="3"/>
      <c r="F14" s="28"/>
      <c r="G14" s="3"/>
      <c r="H14" s="3"/>
      <c r="I14" s="3"/>
      <c r="J14" s="3"/>
      <c r="K14" s="3"/>
      <c r="L14" s="3"/>
      <c r="M14" s="3"/>
      <c r="N14" s="34"/>
      <c r="O14" s="3"/>
      <c r="P14" s="3"/>
      <c r="Q14" s="3"/>
      <c r="R14" s="3"/>
      <c r="S14" s="3"/>
      <c r="T14" s="3"/>
      <c r="U14" s="3"/>
      <c r="V14" s="3"/>
      <c r="W14" s="30"/>
      <c r="X14" s="31"/>
      <c r="Y14" s="3"/>
      <c r="Z14" s="31"/>
      <c r="AA14" s="33"/>
    </row>
    <row r="15">
      <c r="A15" s="1"/>
      <c r="B15" s="1" t="s">
        <v>46</v>
      </c>
      <c r="C15" s="2" t="s">
        <v>47</v>
      </c>
      <c r="D15" s="1" t="s">
        <v>48</v>
      </c>
      <c r="E15" s="3">
        <v>9525.0</v>
      </c>
      <c r="F15" s="28">
        <v>15.0</v>
      </c>
      <c r="G15" s="40">
        <v>1000.0</v>
      </c>
      <c r="H15" s="3"/>
      <c r="I15" s="3"/>
      <c r="J15" s="3"/>
      <c r="K15" s="3"/>
      <c r="L15" s="3"/>
      <c r="M15" s="3"/>
      <c r="N15" s="34">
        <v>22.68</v>
      </c>
      <c r="O15" s="3"/>
      <c r="P15" s="3">
        <f t="shared" ref="P15:P24" si="16">E15+-N15</f>
        <v>9502.32</v>
      </c>
      <c r="Q15" s="3">
        <v>0.0</v>
      </c>
      <c r="R15" s="3"/>
      <c r="S15" s="3">
        <v>1323.44</v>
      </c>
      <c r="T15" s="3">
        <v>-0.1</v>
      </c>
      <c r="U15" s="29">
        <f>ROUND(E15*0.115,2)</f>
        <v>1095.38</v>
      </c>
      <c r="V15" s="3">
        <f t="shared" ref="V15:V24" si="17">SUM(S15:U15)+G15</f>
        <v>3418.72</v>
      </c>
      <c r="W15" s="30">
        <f t="shared" ref="W15:W24" si="18">P15-V15</f>
        <v>6083.6</v>
      </c>
      <c r="X15" s="31">
        <v>489.62</v>
      </c>
      <c r="Y15" s="3">
        <f>ROUND(+E15*17.5%,2)+ROUND(E15*3%,2)</f>
        <v>1952.63</v>
      </c>
      <c r="Z15" s="32">
        <f>ROUND(+E15*2%,2)</f>
        <v>190.5</v>
      </c>
      <c r="AA15" s="33">
        <f t="shared" ref="AA15:AA24" si="19">SUM(X15:Z15)</f>
        <v>2632.75</v>
      </c>
    </row>
    <row r="16">
      <c r="A16" s="1"/>
      <c r="B16" s="1" t="s">
        <v>49</v>
      </c>
      <c r="C16" s="2" t="s">
        <v>50</v>
      </c>
      <c r="D16" s="1" t="s">
        <v>51</v>
      </c>
      <c r="E16" s="3">
        <f>5467.23/15*11</f>
        <v>4009.302</v>
      </c>
      <c r="F16" s="28">
        <v>11.0</v>
      </c>
      <c r="G16" s="40">
        <v>2734.0</v>
      </c>
      <c r="H16" s="3"/>
      <c r="I16" s="3"/>
      <c r="J16" s="3"/>
      <c r="K16" s="3"/>
      <c r="L16" s="3"/>
      <c r="M16" s="3"/>
      <c r="N16" s="34"/>
      <c r="O16" s="3"/>
      <c r="P16" s="3">
        <f t="shared" si="16"/>
        <v>4009.302</v>
      </c>
      <c r="Q16" s="3">
        <v>0.0</v>
      </c>
      <c r="R16" s="3"/>
      <c r="S16" s="3">
        <v>301.02</v>
      </c>
      <c r="T16" s="3">
        <v>-0.05</v>
      </c>
      <c r="U16" s="29">
        <v>628.73</v>
      </c>
      <c r="V16" s="3">
        <f t="shared" si="17"/>
        <v>3663.7</v>
      </c>
      <c r="W16" s="41">
        <f t="shared" si="18"/>
        <v>345.602</v>
      </c>
      <c r="X16" s="31">
        <v>375.13</v>
      </c>
      <c r="Y16" s="3">
        <v>1120.79</v>
      </c>
      <c r="Z16" s="32">
        <v>109.34</v>
      </c>
      <c r="AA16" s="42">
        <f t="shared" si="19"/>
        <v>1605.26</v>
      </c>
    </row>
    <row r="17">
      <c r="A17" s="1"/>
      <c r="B17" s="43" t="s">
        <v>52</v>
      </c>
      <c r="C17" s="2" t="s">
        <v>53</v>
      </c>
      <c r="D17" s="43" t="s">
        <v>54</v>
      </c>
      <c r="E17" s="3">
        <v>5467.23</v>
      </c>
      <c r="F17" s="28">
        <v>15.0</v>
      </c>
      <c r="G17" s="40">
        <v>703.24</v>
      </c>
      <c r="H17" s="3"/>
      <c r="I17" s="3"/>
      <c r="J17" s="3"/>
      <c r="K17" s="3"/>
      <c r="L17" s="3"/>
      <c r="M17" s="3"/>
      <c r="N17" s="34"/>
      <c r="O17" s="3"/>
      <c r="P17" s="3">
        <f t="shared" si="16"/>
        <v>5467.23</v>
      </c>
      <c r="Q17" s="3"/>
      <c r="R17" s="3"/>
      <c r="S17" s="3">
        <v>496.67</v>
      </c>
      <c r="T17" s="3">
        <v>0.19</v>
      </c>
      <c r="U17" s="29">
        <f t="shared" ref="U17:U24" si="20">ROUND(E17*0.115,2)</f>
        <v>628.73</v>
      </c>
      <c r="V17" s="3">
        <f t="shared" si="17"/>
        <v>1828.83</v>
      </c>
      <c r="W17" s="41">
        <f t="shared" si="18"/>
        <v>3638.4</v>
      </c>
      <c r="X17" s="31">
        <v>375.13</v>
      </c>
      <c r="Y17" s="3">
        <f t="shared" ref="Y17:Y24" si="21">ROUND(+E17*17.5%,2)+ROUND(E17*3%,2)</f>
        <v>1120.79</v>
      </c>
      <c r="Z17" s="32">
        <f t="shared" ref="Z17:Z24" si="22">ROUND(+E17*2%,2)</f>
        <v>109.34</v>
      </c>
      <c r="AA17" s="42">
        <f t="shared" si="19"/>
        <v>1605.26</v>
      </c>
    </row>
    <row r="18">
      <c r="A18" s="1"/>
      <c r="B18" s="1" t="s">
        <v>55</v>
      </c>
      <c r="C18" s="2" t="s">
        <v>56</v>
      </c>
      <c r="D18" s="1" t="s">
        <v>57</v>
      </c>
      <c r="E18" s="3">
        <v>4844.53</v>
      </c>
      <c r="F18" s="28">
        <v>15.0</v>
      </c>
      <c r="G18" s="40">
        <v>2422.52</v>
      </c>
      <c r="H18" s="3"/>
      <c r="I18" s="3"/>
      <c r="J18" s="3"/>
      <c r="K18" s="3"/>
      <c r="L18" s="3"/>
      <c r="M18" s="3"/>
      <c r="N18" s="34"/>
      <c r="O18" s="3"/>
      <c r="P18" s="3">
        <f t="shared" si="16"/>
        <v>4844.53</v>
      </c>
      <c r="Q18" s="3"/>
      <c r="R18" s="3"/>
      <c r="S18" s="3">
        <v>397.02</v>
      </c>
      <c r="T18" s="3">
        <v>0.07</v>
      </c>
      <c r="U18" s="29">
        <f t="shared" si="20"/>
        <v>557.12</v>
      </c>
      <c r="V18" s="3">
        <f t="shared" si="17"/>
        <v>3376.73</v>
      </c>
      <c r="W18" s="41">
        <f t="shared" si="18"/>
        <v>1467.8</v>
      </c>
      <c r="X18" s="31">
        <v>357.56</v>
      </c>
      <c r="Y18" s="3">
        <f t="shared" si="21"/>
        <v>993.13</v>
      </c>
      <c r="Z18" s="32">
        <f t="shared" si="22"/>
        <v>96.89</v>
      </c>
      <c r="AA18" s="42">
        <f t="shared" si="19"/>
        <v>1447.58</v>
      </c>
    </row>
    <row r="19">
      <c r="A19" s="1"/>
      <c r="B19" s="1" t="s">
        <v>58</v>
      </c>
      <c r="C19" s="2" t="s">
        <v>59</v>
      </c>
      <c r="D19" s="1" t="s">
        <v>60</v>
      </c>
      <c r="E19" s="3">
        <v>5467.23</v>
      </c>
      <c r="F19" s="28">
        <v>15.0</v>
      </c>
      <c r="G19" s="40">
        <v>2655.36</v>
      </c>
      <c r="H19" s="34"/>
      <c r="I19" s="34"/>
      <c r="J19" s="34"/>
      <c r="K19" s="34"/>
      <c r="L19" s="34"/>
      <c r="M19" s="34"/>
      <c r="N19" s="34"/>
      <c r="O19" s="3"/>
      <c r="P19" s="3">
        <f t="shared" si="16"/>
        <v>5467.23</v>
      </c>
      <c r="Q19" s="3"/>
      <c r="R19" s="3"/>
      <c r="S19" s="3">
        <v>496.67</v>
      </c>
      <c r="T19" s="3">
        <v>-0.13</v>
      </c>
      <c r="U19" s="29">
        <f t="shared" si="20"/>
        <v>628.73</v>
      </c>
      <c r="V19" s="3">
        <f t="shared" si="17"/>
        <v>3780.63</v>
      </c>
      <c r="W19" s="41">
        <f t="shared" si="18"/>
        <v>1686.6</v>
      </c>
      <c r="X19" s="31">
        <v>375.13</v>
      </c>
      <c r="Y19" s="3">
        <f t="shared" si="21"/>
        <v>1120.79</v>
      </c>
      <c r="Z19" s="32">
        <f t="shared" si="22"/>
        <v>109.34</v>
      </c>
      <c r="AA19" s="42">
        <f t="shared" si="19"/>
        <v>1605.26</v>
      </c>
    </row>
    <row r="20">
      <c r="A20" s="1"/>
      <c r="B20" s="43" t="s">
        <v>61</v>
      </c>
      <c r="C20" s="2" t="s">
        <v>62</v>
      </c>
      <c r="D20" s="43" t="s">
        <v>57</v>
      </c>
      <c r="E20" s="3">
        <v>4844.53</v>
      </c>
      <c r="F20" s="28">
        <v>15.0</v>
      </c>
      <c r="G20" s="40">
        <v>2153.0</v>
      </c>
      <c r="H20" s="3"/>
      <c r="I20" s="3"/>
      <c r="J20" s="3"/>
      <c r="K20" s="3"/>
      <c r="L20" s="3"/>
      <c r="M20" s="3"/>
      <c r="N20" s="34"/>
      <c r="O20" s="3"/>
      <c r="P20" s="3">
        <f t="shared" si="16"/>
        <v>4844.53</v>
      </c>
      <c r="Q20" s="3"/>
      <c r="R20" s="3"/>
      <c r="S20" s="3">
        <v>397.02</v>
      </c>
      <c r="T20" s="3">
        <v>-0.01</v>
      </c>
      <c r="U20" s="29">
        <f t="shared" si="20"/>
        <v>557.12</v>
      </c>
      <c r="V20" s="3">
        <f t="shared" si="17"/>
        <v>3107.13</v>
      </c>
      <c r="W20" s="41">
        <f t="shared" si="18"/>
        <v>1737.4</v>
      </c>
      <c r="X20" s="31">
        <v>357.56</v>
      </c>
      <c r="Y20" s="3">
        <f t="shared" si="21"/>
        <v>993.13</v>
      </c>
      <c r="Z20" s="32">
        <f t="shared" si="22"/>
        <v>96.89</v>
      </c>
      <c r="AA20" s="42">
        <f t="shared" si="19"/>
        <v>1447.58</v>
      </c>
    </row>
    <row r="21" ht="15.75" customHeight="1">
      <c r="A21" s="1"/>
      <c r="B21" s="1" t="s">
        <v>63</v>
      </c>
      <c r="C21" s="2" t="s">
        <v>64</v>
      </c>
      <c r="D21" s="1" t="s">
        <v>65</v>
      </c>
      <c r="E21" s="3">
        <v>5278.8</v>
      </c>
      <c r="F21" s="28">
        <v>15.0</v>
      </c>
      <c r="G21" s="3"/>
      <c r="H21" s="34"/>
      <c r="I21" s="34"/>
      <c r="J21" s="34"/>
      <c r="K21" s="34"/>
      <c r="L21" s="34"/>
      <c r="M21" s="34"/>
      <c r="N21" s="34"/>
      <c r="O21" s="3"/>
      <c r="P21" s="3">
        <f t="shared" si="16"/>
        <v>5278.8</v>
      </c>
      <c r="Q21" s="3"/>
      <c r="R21" s="3"/>
      <c r="S21" s="3">
        <v>466.53</v>
      </c>
      <c r="T21" s="3">
        <v>0.01</v>
      </c>
      <c r="U21" s="29">
        <f t="shared" si="20"/>
        <v>607.06</v>
      </c>
      <c r="V21" s="3">
        <f t="shared" si="17"/>
        <v>1073.6</v>
      </c>
      <c r="W21" s="30">
        <f t="shared" si="18"/>
        <v>4205.2</v>
      </c>
      <c r="X21" s="31">
        <v>369.81</v>
      </c>
      <c r="Y21" s="3">
        <f t="shared" si="21"/>
        <v>1082.15</v>
      </c>
      <c r="Z21" s="32">
        <f t="shared" si="22"/>
        <v>105.58</v>
      </c>
      <c r="AA21" s="33">
        <f t="shared" si="19"/>
        <v>1557.54</v>
      </c>
    </row>
    <row r="22" ht="15.75" customHeight="1">
      <c r="A22" s="1"/>
      <c r="B22" s="1" t="s">
        <v>66</v>
      </c>
      <c r="C22" s="2" t="s">
        <v>67</v>
      </c>
      <c r="D22" s="43" t="s">
        <v>68</v>
      </c>
      <c r="E22" s="3">
        <v>5250.0</v>
      </c>
      <c r="F22" s="28">
        <v>15.0</v>
      </c>
      <c r="G22" s="3"/>
      <c r="H22" s="3"/>
      <c r="I22" s="3"/>
      <c r="J22" s="3"/>
      <c r="K22" s="3"/>
      <c r="L22" s="3"/>
      <c r="M22" s="3"/>
      <c r="N22" s="34"/>
      <c r="O22" s="3"/>
      <c r="P22" s="3">
        <f t="shared" si="16"/>
        <v>5250</v>
      </c>
      <c r="Q22" s="3"/>
      <c r="R22" s="3"/>
      <c r="S22" s="3">
        <v>461.92</v>
      </c>
      <c r="T22" s="3">
        <v>-0.07</v>
      </c>
      <c r="U22" s="29">
        <f t="shared" si="20"/>
        <v>603.75</v>
      </c>
      <c r="V22" s="3">
        <f t="shared" si="17"/>
        <v>1065.6</v>
      </c>
      <c r="W22" s="41">
        <f t="shared" si="18"/>
        <v>4184.4</v>
      </c>
      <c r="X22" s="31">
        <v>369.0</v>
      </c>
      <c r="Y22" s="3">
        <f t="shared" si="21"/>
        <v>1076.25</v>
      </c>
      <c r="Z22" s="32">
        <f t="shared" si="22"/>
        <v>105</v>
      </c>
      <c r="AA22" s="42">
        <f t="shared" si="19"/>
        <v>1550.25</v>
      </c>
    </row>
    <row r="23" ht="15.75" customHeight="1">
      <c r="A23" s="1"/>
      <c r="B23" s="1" t="s">
        <v>69</v>
      </c>
      <c r="C23" s="2" t="s">
        <v>70</v>
      </c>
      <c r="D23" s="43" t="s">
        <v>68</v>
      </c>
      <c r="E23" s="3">
        <v>6705.0</v>
      </c>
      <c r="F23" s="28">
        <v>15.0</v>
      </c>
      <c r="G23" s="3"/>
      <c r="H23" s="3"/>
      <c r="I23" s="3"/>
      <c r="J23" s="3"/>
      <c r="K23" s="3"/>
      <c r="L23" s="3"/>
      <c r="M23" s="3"/>
      <c r="N23" s="34"/>
      <c r="O23" s="3"/>
      <c r="P23" s="3">
        <f t="shared" si="16"/>
        <v>6705</v>
      </c>
      <c r="Q23" s="3"/>
      <c r="R23" s="3"/>
      <c r="S23" s="3">
        <v>721.09</v>
      </c>
      <c r="T23" s="3">
        <v>0.03</v>
      </c>
      <c r="U23" s="29">
        <f t="shared" si="20"/>
        <v>771.08</v>
      </c>
      <c r="V23" s="3">
        <f t="shared" si="17"/>
        <v>1492.2</v>
      </c>
      <c r="W23" s="41">
        <f t="shared" si="18"/>
        <v>5212.8</v>
      </c>
      <c r="X23" s="31">
        <v>410.06</v>
      </c>
      <c r="Y23" s="3">
        <f t="shared" si="21"/>
        <v>1374.53</v>
      </c>
      <c r="Z23" s="32">
        <f t="shared" si="22"/>
        <v>134.1</v>
      </c>
      <c r="AA23" s="42">
        <f t="shared" si="19"/>
        <v>1918.69</v>
      </c>
    </row>
    <row r="24" ht="15.75" customHeight="1">
      <c r="A24" s="1"/>
      <c r="B24" s="1" t="s">
        <v>71</v>
      </c>
      <c r="C24" s="2" t="s">
        <v>72</v>
      </c>
      <c r="D24" s="1" t="s">
        <v>73</v>
      </c>
      <c r="E24" s="3">
        <v>7989.28</v>
      </c>
      <c r="F24" s="28">
        <v>15.0</v>
      </c>
      <c r="G24" s="3"/>
      <c r="H24" s="3"/>
      <c r="I24" s="3"/>
      <c r="J24" s="3"/>
      <c r="K24" s="3"/>
      <c r="L24" s="3"/>
      <c r="M24" s="3"/>
      <c r="N24" s="34"/>
      <c r="O24" s="3"/>
      <c r="P24" s="3">
        <f t="shared" si="16"/>
        <v>7989.28</v>
      </c>
      <c r="Q24" s="3">
        <v>0.0</v>
      </c>
      <c r="R24" s="3"/>
      <c r="S24" s="3">
        <v>995.41</v>
      </c>
      <c r="T24" s="3">
        <v>0.1</v>
      </c>
      <c r="U24" s="29">
        <f t="shared" si="20"/>
        <v>918.77</v>
      </c>
      <c r="V24" s="3">
        <f t="shared" si="17"/>
        <v>1914.28</v>
      </c>
      <c r="W24" s="41">
        <f t="shared" si="18"/>
        <v>6075</v>
      </c>
      <c r="X24" s="31">
        <v>446.29</v>
      </c>
      <c r="Y24" s="3">
        <f t="shared" si="21"/>
        <v>1637.8</v>
      </c>
      <c r="Z24" s="32">
        <f t="shared" si="22"/>
        <v>159.79</v>
      </c>
      <c r="AA24" s="42">
        <f t="shared" si="19"/>
        <v>2243.88</v>
      </c>
    </row>
    <row r="25" ht="15.75" customHeight="1">
      <c r="A25" s="1"/>
      <c r="B25" s="24" t="s">
        <v>35</v>
      </c>
      <c r="C25" s="36"/>
      <c r="D25" s="37"/>
      <c r="E25" s="38">
        <f>SUM(E12:E24)</f>
        <v>86130.852</v>
      </c>
      <c r="F25" s="38"/>
      <c r="G25" s="38">
        <f>SUM(G12:G24)</f>
        <v>11668.12</v>
      </c>
      <c r="H25" s="38" t="str">
        <f>+#REF!+H18+H16+H12+H14+H15+H19</f>
        <v>#REF!</v>
      </c>
      <c r="I25" s="38"/>
      <c r="J25" s="38"/>
      <c r="K25" s="38"/>
      <c r="L25" s="38"/>
      <c r="M25" s="38"/>
      <c r="N25" s="38">
        <f t="shared" ref="N25:P25" si="23">SUM(N12:N24)</f>
        <v>22.68</v>
      </c>
      <c r="O25" s="38">
        <f t="shared" si="23"/>
        <v>0</v>
      </c>
      <c r="P25" s="38">
        <f t="shared" si="23"/>
        <v>86108.172</v>
      </c>
      <c r="Q25" s="38">
        <f t="shared" ref="Q25:R25" si="24">SUM(Q12:S23)</f>
        <v>9373.13</v>
      </c>
      <c r="R25" s="38">
        <f t="shared" si="24"/>
        <v>9373.03</v>
      </c>
      <c r="S25" s="38">
        <f t="shared" ref="S25:AA25" si="25">SUM(S12:S24)</f>
        <v>10368.54</v>
      </c>
      <c r="T25" s="38">
        <f t="shared" si="25"/>
        <v>0</v>
      </c>
      <c r="U25" s="38">
        <f t="shared" si="25"/>
        <v>10072.71</v>
      </c>
      <c r="V25" s="38">
        <f t="shared" si="25"/>
        <v>32109.37</v>
      </c>
      <c r="W25" s="38">
        <f t="shared" si="25"/>
        <v>53998.802</v>
      </c>
      <c r="X25" s="38">
        <f t="shared" si="25"/>
        <v>5121.79</v>
      </c>
      <c r="Y25" s="38">
        <f t="shared" si="25"/>
        <v>17955.73</v>
      </c>
      <c r="Z25" s="38">
        <f t="shared" si="25"/>
        <v>1751.77</v>
      </c>
      <c r="AA25" s="38">
        <f t="shared" si="25"/>
        <v>24829.29</v>
      </c>
    </row>
    <row r="26" ht="15.75" customHeight="1">
      <c r="A26" s="1"/>
      <c r="B26" s="24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9"/>
      <c r="X26" s="1"/>
      <c r="Y26" s="1"/>
      <c r="Z26" s="1"/>
      <c r="AA26" s="1"/>
    </row>
    <row r="27" ht="15.75" customHeight="1">
      <c r="A27" s="1"/>
      <c r="B27" s="24" t="s">
        <v>74</v>
      </c>
      <c r="C27" s="36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9"/>
      <c r="X27" s="1"/>
      <c r="Y27" s="1"/>
      <c r="Z27" s="1"/>
      <c r="AA27" s="1"/>
    </row>
    <row r="28" ht="15.75" customHeight="1">
      <c r="A28" s="1"/>
      <c r="B28" s="1" t="s">
        <v>76</v>
      </c>
      <c r="C28" s="2" t="s">
        <v>77</v>
      </c>
      <c r="D28" s="43" t="s">
        <v>78</v>
      </c>
      <c r="E28" s="3">
        <v>7782.06</v>
      </c>
      <c r="F28" s="28">
        <v>15.0</v>
      </c>
      <c r="G28" s="3"/>
      <c r="H28" s="3"/>
      <c r="I28" s="3"/>
      <c r="J28" s="3"/>
      <c r="K28" s="3"/>
      <c r="L28" s="3"/>
      <c r="M28" s="3"/>
      <c r="N28" s="34"/>
      <c r="O28" s="3"/>
      <c r="P28" s="3">
        <f t="shared" ref="P28:P31" si="26">E28+-N28</f>
        <v>7782.06</v>
      </c>
      <c r="Q28" s="3">
        <v>0.0</v>
      </c>
      <c r="R28" s="3"/>
      <c r="S28" s="3">
        <v>951.13</v>
      </c>
      <c r="T28" s="3">
        <v>-0.01</v>
      </c>
      <c r="U28" s="29">
        <f t="shared" ref="U28:U31" si="27">ROUND(E28*0.115,2)</f>
        <v>894.94</v>
      </c>
      <c r="V28" s="3">
        <f t="shared" ref="V28:V31" si="28">SUM(S28:U28)+G28</f>
        <v>1846.06</v>
      </c>
      <c r="W28" s="41">
        <f t="shared" ref="W28:W31" si="29">P28-V28</f>
        <v>5936</v>
      </c>
      <c r="X28" s="31">
        <v>440.45</v>
      </c>
      <c r="Y28" s="3">
        <f t="shared" ref="Y28:Y31" si="30">ROUND(+E28*17.5%,2)+ROUND(E28*3%,2)</f>
        <v>1595.32</v>
      </c>
      <c r="Z28" s="32">
        <f t="shared" ref="Z28:Z31" si="31">ROUND(+E28*2%,2)</f>
        <v>155.64</v>
      </c>
      <c r="AA28" s="42">
        <f t="shared" ref="AA28:AA31" si="32">SUM(X28:Z28)</f>
        <v>2191.41</v>
      </c>
    </row>
    <row r="29" ht="15.75" customHeight="1">
      <c r="A29" s="1"/>
      <c r="B29" s="1" t="s">
        <v>79</v>
      </c>
      <c r="C29" s="2" t="s">
        <v>80</v>
      </c>
      <c r="D29" s="43" t="s">
        <v>81</v>
      </c>
      <c r="E29" s="3">
        <v>7782.06</v>
      </c>
      <c r="F29" s="28">
        <v>15.0</v>
      </c>
      <c r="G29" s="3"/>
      <c r="H29" s="3"/>
      <c r="I29" s="3"/>
      <c r="J29" s="3"/>
      <c r="K29" s="3"/>
      <c r="L29" s="3"/>
      <c r="M29" s="3"/>
      <c r="N29" s="34"/>
      <c r="O29" s="3"/>
      <c r="P29" s="3">
        <f t="shared" si="26"/>
        <v>7782.06</v>
      </c>
      <c r="Q29" s="3">
        <v>0.0</v>
      </c>
      <c r="R29" s="3"/>
      <c r="S29" s="3">
        <v>951.13</v>
      </c>
      <c r="T29" s="3">
        <v>-0.01</v>
      </c>
      <c r="U29" s="29">
        <f t="shared" si="27"/>
        <v>894.94</v>
      </c>
      <c r="V29" s="3">
        <f t="shared" si="28"/>
        <v>1846.06</v>
      </c>
      <c r="W29" s="41">
        <f t="shared" si="29"/>
        <v>5936</v>
      </c>
      <c r="X29" s="31">
        <v>440.45</v>
      </c>
      <c r="Y29" s="3">
        <f t="shared" si="30"/>
        <v>1595.32</v>
      </c>
      <c r="Z29" s="32">
        <f t="shared" si="31"/>
        <v>155.64</v>
      </c>
      <c r="AA29" s="42">
        <f t="shared" si="32"/>
        <v>2191.41</v>
      </c>
    </row>
    <row r="30" ht="15.75" customHeight="1">
      <c r="A30" s="1"/>
      <c r="B30" s="1" t="s">
        <v>82</v>
      </c>
      <c r="C30" s="2" t="s">
        <v>83</v>
      </c>
      <c r="D30" s="1" t="s">
        <v>84</v>
      </c>
      <c r="E30" s="3">
        <v>7782.06</v>
      </c>
      <c r="F30" s="28">
        <v>15.0</v>
      </c>
      <c r="G30" s="40">
        <v>3336.0</v>
      </c>
      <c r="H30" s="3"/>
      <c r="I30" s="3"/>
      <c r="J30" s="3"/>
      <c r="K30" s="3"/>
      <c r="L30" s="3"/>
      <c r="M30" s="3"/>
      <c r="N30" s="34"/>
      <c r="O30" s="3"/>
      <c r="P30" s="3">
        <f t="shared" si="26"/>
        <v>7782.06</v>
      </c>
      <c r="Q30" s="3">
        <v>0.0</v>
      </c>
      <c r="R30" s="3"/>
      <c r="S30" s="3">
        <v>951.13</v>
      </c>
      <c r="T30" s="3">
        <v>0.19</v>
      </c>
      <c r="U30" s="29">
        <f t="shared" si="27"/>
        <v>894.94</v>
      </c>
      <c r="V30" s="3">
        <f t="shared" si="28"/>
        <v>5182.26</v>
      </c>
      <c r="W30" s="41">
        <f t="shared" si="29"/>
        <v>2599.8</v>
      </c>
      <c r="X30" s="31">
        <v>440.45</v>
      </c>
      <c r="Y30" s="3">
        <f t="shared" si="30"/>
        <v>1595.32</v>
      </c>
      <c r="Z30" s="32">
        <f t="shared" si="31"/>
        <v>155.64</v>
      </c>
      <c r="AA30" s="42">
        <f t="shared" si="32"/>
        <v>2191.41</v>
      </c>
    </row>
    <row r="31" ht="15.75" customHeight="1">
      <c r="A31" s="1"/>
      <c r="B31" s="1" t="s">
        <v>85</v>
      </c>
      <c r="C31" s="2" t="s">
        <v>86</v>
      </c>
      <c r="D31" s="43" t="s">
        <v>81</v>
      </c>
      <c r="E31" s="3">
        <v>7782.06</v>
      </c>
      <c r="F31" s="28">
        <v>15.0</v>
      </c>
      <c r="G31" s="40">
        <v>1191.0</v>
      </c>
      <c r="H31" s="34"/>
      <c r="I31" s="34"/>
      <c r="J31" s="34"/>
      <c r="K31" s="34"/>
      <c r="L31" s="34"/>
      <c r="M31" s="34"/>
      <c r="N31" s="34"/>
      <c r="O31" s="3"/>
      <c r="P31" s="3">
        <f t="shared" si="26"/>
        <v>7782.06</v>
      </c>
      <c r="Q31" s="3"/>
      <c r="R31" s="3"/>
      <c r="S31" s="3">
        <v>951.13</v>
      </c>
      <c r="T31" s="3">
        <v>-0.01</v>
      </c>
      <c r="U31" s="29">
        <f t="shared" si="27"/>
        <v>894.94</v>
      </c>
      <c r="V31" s="3">
        <f t="shared" si="28"/>
        <v>3037.06</v>
      </c>
      <c r="W31" s="41">
        <f t="shared" si="29"/>
        <v>4745</v>
      </c>
      <c r="X31" s="31">
        <v>440.45</v>
      </c>
      <c r="Y31" s="3">
        <f t="shared" si="30"/>
        <v>1595.32</v>
      </c>
      <c r="Z31" s="32">
        <f t="shared" si="31"/>
        <v>155.64</v>
      </c>
      <c r="AA31" s="42">
        <f t="shared" si="32"/>
        <v>2191.41</v>
      </c>
    </row>
    <row r="32" ht="15.75" customHeight="1">
      <c r="A32" s="1"/>
      <c r="B32" s="24" t="s">
        <v>35</v>
      </c>
      <c r="C32" s="36"/>
      <c r="D32" s="37"/>
      <c r="E32" s="38">
        <f>SUM(E28:E31)</f>
        <v>31128.24</v>
      </c>
      <c r="F32" s="38"/>
      <c r="G32" s="38">
        <f>+G31+G30+G28+G29</f>
        <v>4527</v>
      </c>
      <c r="H32" s="38"/>
      <c r="I32" s="38"/>
      <c r="J32" s="38"/>
      <c r="K32" s="38"/>
      <c r="L32" s="38"/>
      <c r="M32" s="38"/>
      <c r="N32" s="38">
        <f t="shared" ref="N32:P32" si="33">SUM(N28:N31)</f>
        <v>0</v>
      </c>
      <c r="O32" s="38">
        <f t="shared" si="33"/>
        <v>0</v>
      </c>
      <c r="P32" s="38">
        <f t="shared" si="33"/>
        <v>31128.24</v>
      </c>
      <c r="Q32" s="38">
        <f t="shared" ref="Q32:R32" si="34">SUM(Q28:Q30)</f>
        <v>0</v>
      </c>
      <c r="R32" s="38">
        <f t="shared" si="34"/>
        <v>0</v>
      </c>
      <c r="S32" s="38">
        <f t="shared" ref="S32:AA32" si="35">SUM(S28:S31)</f>
        <v>3804.52</v>
      </c>
      <c r="T32" s="38">
        <f t="shared" si="35"/>
        <v>0.16</v>
      </c>
      <c r="U32" s="38">
        <f t="shared" si="35"/>
        <v>3579.76</v>
      </c>
      <c r="V32" s="38">
        <f t="shared" si="35"/>
        <v>11911.44</v>
      </c>
      <c r="W32" s="38">
        <f t="shared" si="35"/>
        <v>19216.8</v>
      </c>
      <c r="X32" s="38">
        <f t="shared" si="35"/>
        <v>1761.8</v>
      </c>
      <c r="Y32" s="38">
        <f t="shared" si="35"/>
        <v>6381.28</v>
      </c>
      <c r="Z32" s="38">
        <f t="shared" si="35"/>
        <v>622.56</v>
      </c>
      <c r="AA32" s="38">
        <f t="shared" si="35"/>
        <v>8765.64</v>
      </c>
    </row>
    <row r="33" ht="15.75" customHeight="1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9"/>
      <c r="X33" s="1"/>
      <c r="Y33" s="1"/>
      <c r="Z33" s="1"/>
      <c r="AA33" s="1"/>
    </row>
    <row r="34" ht="15.75" customHeight="1">
      <c r="A34" s="1"/>
      <c r="B34" s="24" t="s">
        <v>87</v>
      </c>
      <c r="C34" s="36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9"/>
      <c r="X34" s="1"/>
      <c r="Y34" s="1"/>
      <c r="Z34" s="1"/>
      <c r="AA34" s="1"/>
    </row>
    <row r="35" ht="15.75" customHeight="1">
      <c r="A35" s="1"/>
      <c r="B35" s="1" t="s">
        <v>89</v>
      </c>
      <c r="C35" s="2"/>
      <c r="D35" s="43" t="s">
        <v>90</v>
      </c>
      <c r="E35" s="3"/>
      <c r="F35" s="28"/>
      <c r="G35" s="3"/>
      <c r="H35" s="3"/>
      <c r="I35" s="3"/>
      <c r="J35" s="3"/>
      <c r="K35" s="3"/>
      <c r="L35" s="3"/>
      <c r="M35" s="3"/>
      <c r="N35" s="34"/>
      <c r="O35" s="3"/>
      <c r="P35" s="3"/>
      <c r="Q35" s="3"/>
      <c r="R35" s="3"/>
      <c r="S35" s="3"/>
      <c r="T35" s="3"/>
      <c r="U35" s="44"/>
      <c r="V35" s="3"/>
      <c r="W35" s="45"/>
      <c r="X35" s="31"/>
      <c r="Y35" s="31"/>
      <c r="Z35" s="32"/>
      <c r="AA35" s="42"/>
    </row>
    <row r="36" ht="15.75" customHeight="1">
      <c r="A36" s="1"/>
      <c r="B36" s="43" t="s">
        <v>89</v>
      </c>
      <c r="C36" s="2" t="s">
        <v>91</v>
      </c>
      <c r="D36" s="43" t="s">
        <v>92</v>
      </c>
      <c r="E36" s="3">
        <v>7782.06</v>
      </c>
      <c r="F36" s="28">
        <v>15.0</v>
      </c>
      <c r="G36" s="3"/>
      <c r="H36" s="3"/>
      <c r="I36" s="3"/>
      <c r="J36" s="3"/>
      <c r="K36" s="3"/>
      <c r="L36" s="3"/>
      <c r="M36" s="3"/>
      <c r="N36" s="34"/>
      <c r="O36" s="3"/>
      <c r="P36" s="3">
        <f t="shared" ref="P36:P52" si="36">E36+-N36</f>
        <v>7782.06</v>
      </c>
      <c r="Q36" s="3"/>
      <c r="R36" s="3"/>
      <c r="S36" s="3">
        <v>951.13</v>
      </c>
      <c r="T36" s="3">
        <v>0.19</v>
      </c>
      <c r="U36" s="44">
        <f t="shared" ref="U36:U52" si="37">ROUND(E36*0.115,2)</f>
        <v>894.94</v>
      </c>
      <c r="V36" s="3">
        <f t="shared" ref="V36:V38" si="38">SUM(S36:U36)+G36</f>
        <v>1846.26</v>
      </c>
      <c r="W36" s="41">
        <f t="shared" ref="W36:W52" si="39">P36-V36</f>
        <v>5935.8</v>
      </c>
      <c r="X36" s="31">
        <v>440.45</v>
      </c>
      <c r="Y36" s="3">
        <f t="shared" ref="Y36:Y52" si="40">ROUND(+E36*17.5%,2)+ROUND(E36*3%,2)</f>
        <v>1595.32</v>
      </c>
      <c r="Z36" s="32">
        <f t="shared" ref="Z36:Z52" si="41">ROUND(+E36*2%,2)</f>
        <v>155.64</v>
      </c>
      <c r="AA36" s="42">
        <f t="shared" ref="AA36:AA52" si="42">SUM(X36:Z36)</f>
        <v>2191.41</v>
      </c>
    </row>
    <row r="37" ht="15.75" customHeight="1">
      <c r="A37" s="1"/>
      <c r="B37" s="1" t="s">
        <v>93</v>
      </c>
      <c r="C37" s="2" t="s">
        <v>94</v>
      </c>
      <c r="D37" s="43" t="s">
        <v>92</v>
      </c>
      <c r="E37" s="3">
        <v>7782.06</v>
      </c>
      <c r="F37" s="28">
        <v>15.0</v>
      </c>
      <c r="G37" s="3"/>
      <c r="H37" s="3"/>
      <c r="I37" s="3"/>
      <c r="J37" s="3"/>
      <c r="K37" s="3"/>
      <c r="L37" s="3"/>
      <c r="M37" s="3"/>
      <c r="N37" s="34"/>
      <c r="O37" s="3"/>
      <c r="P37" s="3">
        <f t="shared" si="36"/>
        <v>7782.06</v>
      </c>
      <c r="Q37" s="3"/>
      <c r="R37" s="3"/>
      <c r="S37" s="3">
        <v>951.13</v>
      </c>
      <c r="T37" s="3">
        <v>-0.01</v>
      </c>
      <c r="U37" s="44">
        <f t="shared" si="37"/>
        <v>894.94</v>
      </c>
      <c r="V37" s="3">
        <f t="shared" si="38"/>
        <v>1846.06</v>
      </c>
      <c r="W37" s="41">
        <f t="shared" si="39"/>
        <v>5936</v>
      </c>
      <c r="X37" s="31">
        <v>440.45</v>
      </c>
      <c r="Y37" s="3">
        <f t="shared" si="40"/>
        <v>1595.32</v>
      </c>
      <c r="Z37" s="32">
        <f t="shared" si="41"/>
        <v>155.64</v>
      </c>
      <c r="AA37" s="42">
        <f t="shared" si="42"/>
        <v>2191.41</v>
      </c>
    </row>
    <row r="38" ht="15.75" customHeight="1">
      <c r="A38" s="1"/>
      <c r="B38" s="1" t="s">
        <v>95</v>
      </c>
      <c r="C38" s="2" t="s">
        <v>96</v>
      </c>
      <c r="D38" s="1" t="s">
        <v>97</v>
      </c>
      <c r="E38" s="3">
        <v>7989.28</v>
      </c>
      <c r="F38" s="28">
        <v>15.0</v>
      </c>
      <c r="G38" s="3"/>
      <c r="H38" s="3"/>
      <c r="I38" s="3"/>
      <c r="J38" s="3"/>
      <c r="K38" s="3"/>
      <c r="L38" s="3"/>
      <c r="M38" s="3"/>
      <c r="N38" s="34"/>
      <c r="O38" s="3"/>
      <c r="P38" s="3">
        <f t="shared" si="36"/>
        <v>7989.28</v>
      </c>
      <c r="Q38" s="3">
        <v>0.0</v>
      </c>
      <c r="R38" s="3"/>
      <c r="S38" s="3">
        <v>995.41</v>
      </c>
      <c r="T38" s="3">
        <v>-0.1</v>
      </c>
      <c r="U38" s="44">
        <f t="shared" si="37"/>
        <v>918.77</v>
      </c>
      <c r="V38" s="3">
        <f t="shared" si="38"/>
        <v>1914.08</v>
      </c>
      <c r="W38" s="41">
        <f t="shared" si="39"/>
        <v>6075.2</v>
      </c>
      <c r="X38" s="31">
        <v>446.29</v>
      </c>
      <c r="Y38" s="3">
        <f t="shared" si="40"/>
        <v>1637.8</v>
      </c>
      <c r="Z38" s="32">
        <f t="shared" si="41"/>
        <v>159.79</v>
      </c>
      <c r="AA38" s="42">
        <f t="shared" si="42"/>
        <v>2243.88</v>
      </c>
    </row>
    <row r="39" ht="15.75" customHeight="1">
      <c r="A39" s="1"/>
      <c r="B39" s="1" t="s">
        <v>98</v>
      </c>
      <c r="C39" s="2" t="s">
        <v>99</v>
      </c>
      <c r="D39" s="1" t="s">
        <v>100</v>
      </c>
      <c r="E39" s="3">
        <v>7782.06</v>
      </c>
      <c r="F39" s="28">
        <v>15.0</v>
      </c>
      <c r="G39" s="3"/>
      <c r="H39" s="3"/>
      <c r="I39" s="40">
        <v>2994.04</v>
      </c>
      <c r="J39" s="3"/>
      <c r="K39" s="3"/>
      <c r="L39" s="3"/>
      <c r="M39" s="3"/>
      <c r="N39" s="34"/>
      <c r="O39" s="3"/>
      <c r="P39" s="3">
        <f t="shared" si="36"/>
        <v>7782.06</v>
      </c>
      <c r="Q39" s="3">
        <v>0.0</v>
      </c>
      <c r="R39" s="3"/>
      <c r="S39" s="3">
        <v>951.13</v>
      </c>
      <c r="T39" s="3">
        <v>0.15</v>
      </c>
      <c r="U39" s="44">
        <f t="shared" si="37"/>
        <v>894.94</v>
      </c>
      <c r="V39" s="3">
        <f>SUM(S39:U39)+G39+I39</f>
        <v>4840.26</v>
      </c>
      <c r="W39" s="41">
        <f t="shared" si="39"/>
        <v>2941.8</v>
      </c>
      <c r="X39" s="31">
        <v>440.45</v>
      </c>
      <c r="Y39" s="3">
        <f t="shared" si="40"/>
        <v>1595.32</v>
      </c>
      <c r="Z39" s="32">
        <f t="shared" si="41"/>
        <v>155.64</v>
      </c>
      <c r="AA39" s="42">
        <f t="shared" si="42"/>
        <v>2191.41</v>
      </c>
    </row>
    <row r="40" ht="15.75" customHeight="1">
      <c r="A40" s="1"/>
      <c r="B40" s="1" t="s">
        <v>101</v>
      </c>
      <c r="C40" s="2" t="s">
        <v>102</v>
      </c>
      <c r="D40" s="1" t="s">
        <v>103</v>
      </c>
      <c r="E40" s="3">
        <v>7782.06</v>
      </c>
      <c r="F40" s="28">
        <v>15.0</v>
      </c>
      <c r="G40" s="40">
        <v>2143.0</v>
      </c>
      <c r="H40" s="3"/>
      <c r="I40" s="3"/>
      <c r="J40" s="3"/>
      <c r="K40" s="3"/>
      <c r="L40" s="3"/>
      <c r="M40" s="3"/>
      <c r="N40" s="34"/>
      <c r="O40" s="3"/>
      <c r="P40" s="3">
        <f t="shared" si="36"/>
        <v>7782.06</v>
      </c>
      <c r="Q40" s="3">
        <v>0.0</v>
      </c>
      <c r="R40" s="3"/>
      <c r="S40" s="3">
        <v>951.13</v>
      </c>
      <c r="T40" s="3">
        <v>-0.01</v>
      </c>
      <c r="U40" s="44">
        <f t="shared" si="37"/>
        <v>894.94</v>
      </c>
      <c r="V40" s="3">
        <f t="shared" ref="V40:V42" si="43">SUM(S40:U40)+G40</f>
        <v>3989.06</v>
      </c>
      <c r="W40" s="41">
        <f t="shared" si="39"/>
        <v>3793</v>
      </c>
      <c r="X40" s="31">
        <v>440.45</v>
      </c>
      <c r="Y40" s="3">
        <f t="shared" si="40"/>
        <v>1595.32</v>
      </c>
      <c r="Z40" s="32">
        <f t="shared" si="41"/>
        <v>155.64</v>
      </c>
      <c r="AA40" s="42">
        <f t="shared" si="42"/>
        <v>2191.41</v>
      </c>
    </row>
    <row r="41" ht="15.75" customHeight="1">
      <c r="A41" s="1"/>
      <c r="B41" s="1" t="s">
        <v>104</v>
      </c>
      <c r="C41" s="2" t="s">
        <v>44</v>
      </c>
      <c r="D41" s="1" t="s">
        <v>103</v>
      </c>
      <c r="E41" s="3"/>
      <c r="F41" s="28"/>
      <c r="G41" s="46"/>
      <c r="H41" s="3"/>
      <c r="I41" s="3"/>
      <c r="J41" s="3"/>
      <c r="K41" s="3"/>
      <c r="L41" s="3"/>
      <c r="M41" s="3"/>
      <c r="N41" s="34"/>
      <c r="O41" s="3"/>
      <c r="P41" s="3">
        <f t="shared" si="36"/>
        <v>0</v>
      </c>
      <c r="Q41" s="3">
        <v>0.0</v>
      </c>
      <c r="R41" s="3"/>
      <c r="S41" s="3"/>
      <c r="T41" s="3"/>
      <c r="U41" s="44">
        <f t="shared" si="37"/>
        <v>0</v>
      </c>
      <c r="V41" s="3">
        <f t="shared" si="43"/>
        <v>0</v>
      </c>
      <c r="W41" s="41">
        <f t="shared" si="39"/>
        <v>0</v>
      </c>
      <c r="X41" s="31"/>
      <c r="Y41" s="3">
        <f t="shared" si="40"/>
        <v>0</v>
      </c>
      <c r="Z41" s="32">
        <f t="shared" si="41"/>
        <v>0</v>
      </c>
      <c r="AA41" s="42">
        <f t="shared" si="42"/>
        <v>0</v>
      </c>
    </row>
    <row r="42" ht="15.75" customHeight="1">
      <c r="A42" s="1"/>
      <c r="B42" s="1" t="s">
        <v>105</v>
      </c>
      <c r="C42" s="2" t="s">
        <v>44</v>
      </c>
      <c r="D42" s="1" t="s">
        <v>103</v>
      </c>
      <c r="E42" s="3"/>
      <c r="F42" s="28">
        <v>15.0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36"/>
        <v>0</v>
      </c>
      <c r="Q42" s="3">
        <v>0.0</v>
      </c>
      <c r="R42" s="3"/>
      <c r="S42" s="3"/>
      <c r="T42" s="3"/>
      <c r="U42" s="44">
        <f t="shared" si="37"/>
        <v>0</v>
      </c>
      <c r="V42" s="3">
        <f t="shared" si="43"/>
        <v>0</v>
      </c>
      <c r="W42" s="41">
        <f t="shared" si="39"/>
        <v>0</v>
      </c>
      <c r="X42" s="31">
        <v>0.0</v>
      </c>
      <c r="Y42" s="3">
        <f t="shared" si="40"/>
        <v>0</v>
      </c>
      <c r="Z42" s="32">
        <f t="shared" si="41"/>
        <v>0</v>
      </c>
      <c r="AA42" s="42">
        <f t="shared" si="42"/>
        <v>0</v>
      </c>
    </row>
    <row r="43" ht="15.75" customHeight="1">
      <c r="A43" s="1"/>
      <c r="B43" s="43" t="s">
        <v>106</v>
      </c>
      <c r="C43" s="2" t="s">
        <v>107</v>
      </c>
      <c r="D43" s="43" t="s">
        <v>108</v>
      </c>
      <c r="E43" s="3">
        <v>7782.06</v>
      </c>
      <c r="F43" s="28">
        <v>15.0</v>
      </c>
      <c r="G43" s="3"/>
      <c r="H43" s="3"/>
      <c r="I43" s="3"/>
      <c r="J43" s="40">
        <v>2257.03</v>
      </c>
      <c r="K43" s="40">
        <v>86.18</v>
      </c>
      <c r="L43" s="40">
        <v>1375.93</v>
      </c>
      <c r="M43" s="40">
        <v>37.35</v>
      </c>
      <c r="N43" s="34"/>
      <c r="O43" s="3"/>
      <c r="P43" s="3">
        <f t="shared" si="36"/>
        <v>7782.06</v>
      </c>
      <c r="Q43" s="3">
        <v>0.0</v>
      </c>
      <c r="R43" s="3"/>
      <c r="S43" s="3">
        <v>951.13</v>
      </c>
      <c r="T43" s="3">
        <v>0.1</v>
      </c>
      <c r="U43" s="44">
        <f t="shared" si="37"/>
        <v>894.94</v>
      </c>
      <c r="V43" s="3">
        <f>SUM(S43:U43)+G43+J43+K43+L43+M43</f>
        <v>5602.66</v>
      </c>
      <c r="W43" s="41">
        <f t="shared" si="39"/>
        <v>2179.4</v>
      </c>
      <c r="X43" s="31">
        <v>440.45</v>
      </c>
      <c r="Y43" s="3">
        <f t="shared" si="40"/>
        <v>1595.32</v>
      </c>
      <c r="Z43" s="32">
        <f t="shared" si="41"/>
        <v>155.64</v>
      </c>
      <c r="AA43" s="42">
        <f t="shared" si="42"/>
        <v>2191.41</v>
      </c>
    </row>
    <row r="44" ht="15.75" customHeight="1">
      <c r="A44" s="1"/>
      <c r="B44" s="1" t="s">
        <v>109</v>
      </c>
      <c r="C44" s="2" t="s">
        <v>110</v>
      </c>
      <c r="D44" s="1" t="s">
        <v>108</v>
      </c>
      <c r="E44" s="3">
        <v>7782.06</v>
      </c>
      <c r="F44" s="28">
        <v>15.0</v>
      </c>
      <c r="G44" s="40">
        <v>1183.75</v>
      </c>
      <c r="H44" s="3"/>
      <c r="I44" s="3"/>
      <c r="J44" s="40">
        <v>2344.37</v>
      </c>
      <c r="K44" s="40">
        <v>112.95</v>
      </c>
      <c r="L44" s="3"/>
      <c r="M44" s="3"/>
      <c r="N44" s="34"/>
      <c r="O44" s="3"/>
      <c r="P44" s="3">
        <f t="shared" si="36"/>
        <v>7782.06</v>
      </c>
      <c r="Q44" s="3">
        <v>0.0</v>
      </c>
      <c r="R44" s="3"/>
      <c r="S44" s="3">
        <v>951.13</v>
      </c>
      <c r="T44" s="3">
        <v>0.12</v>
      </c>
      <c r="U44" s="44">
        <f t="shared" si="37"/>
        <v>894.94</v>
      </c>
      <c r="V44" s="3">
        <f>SUM(S44:U44)+G44+J44+K44</f>
        <v>5487.26</v>
      </c>
      <c r="W44" s="41">
        <f t="shared" si="39"/>
        <v>2294.8</v>
      </c>
      <c r="X44" s="31">
        <v>440.45</v>
      </c>
      <c r="Y44" s="3">
        <f t="shared" si="40"/>
        <v>1595.32</v>
      </c>
      <c r="Z44" s="32">
        <f t="shared" si="41"/>
        <v>155.64</v>
      </c>
      <c r="AA44" s="42">
        <f t="shared" si="42"/>
        <v>2191.41</v>
      </c>
    </row>
    <row r="45" ht="15.75" customHeight="1">
      <c r="A45" s="1"/>
      <c r="B45" s="1" t="s">
        <v>111</v>
      </c>
      <c r="C45" s="2" t="s">
        <v>44</v>
      </c>
      <c r="D45" s="1" t="s">
        <v>112</v>
      </c>
      <c r="E45" s="3"/>
      <c r="F45" s="28">
        <v>15.0</v>
      </c>
      <c r="G45" s="3"/>
      <c r="H45" s="3"/>
      <c r="I45" s="3"/>
      <c r="J45" s="3"/>
      <c r="K45" s="3"/>
      <c r="L45" s="3"/>
      <c r="M45" s="3"/>
      <c r="N45" s="34"/>
      <c r="O45" s="3"/>
      <c r="P45" s="3">
        <f t="shared" si="36"/>
        <v>0</v>
      </c>
      <c r="Q45" s="3">
        <v>0.0</v>
      </c>
      <c r="R45" s="3"/>
      <c r="S45" s="3"/>
      <c r="T45" s="3"/>
      <c r="U45" s="44">
        <f t="shared" si="37"/>
        <v>0</v>
      </c>
      <c r="V45" s="3">
        <f t="shared" ref="V45:V49" si="44">SUM(S45:U45)+G45</f>
        <v>0</v>
      </c>
      <c r="W45" s="41">
        <f t="shared" si="39"/>
        <v>0</v>
      </c>
      <c r="X45" s="31">
        <v>0.0</v>
      </c>
      <c r="Y45" s="3">
        <f t="shared" si="40"/>
        <v>0</v>
      </c>
      <c r="Z45" s="32">
        <f t="shared" si="41"/>
        <v>0</v>
      </c>
      <c r="AA45" s="42">
        <f t="shared" si="42"/>
        <v>0</v>
      </c>
    </row>
    <row r="46" ht="15.75" customHeight="1">
      <c r="A46" s="1"/>
      <c r="B46" s="1" t="s">
        <v>113</v>
      </c>
      <c r="C46" s="2" t="s">
        <v>114</v>
      </c>
      <c r="D46" s="1" t="s">
        <v>112</v>
      </c>
      <c r="E46" s="3">
        <v>7782.06</v>
      </c>
      <c r="F46" s="28">
        <v>15.0</v>
      </c>
      <c r="G46" s="40">
        <v>1253.0</v>
      </c>
      <c r="H46" s="3"/>
      <c r="I46" s="3"/>
      <c r="J46" s="3"/>
      <c r="K46" s="3"/>
      <c r="L46" s="3"/>
      <c r="M46" s="3"/>
      <c r="N46" s="34"/>
      <c r="O46" s="3"/>
      <c r="P46" s="3">
        <f t="shared" si="36"/>
        <v>7782.06</v>
      </c>
      <c r="Q46" s="3">
        <v>0.0</v>
      </c>
      <c r="R46" s="3"/>
      <c r="S46" s="3">
        <v>951.13</v>
      </c>
      <c r="T46" s="3">
        <v>-0.01</v>
      </c>
      <c r="U46" s="44">
        <f t="shared" si="37"/>
        <v>894.94</v>
      </c>
      <c r="V46" s="3">
        <f t="shared" si="44"/>
        <v>3099.06</v>
      </c>
      <c r="W46" s="41">
        <f t="shared" si="39"/>
        <v>4683</v>
      </c>
      <c r="X46" s="31">
        <v>440.45</v>
      </c>
      <c r="Y46" s="3">
        <f t="shared" si="40"/>
        <v>1595.32</v>
      </c>
      <c r="Z46" s="32">
        <f t="shared" si="41"/>
        <v>155.64</v>
      </c>
      <c r="AA46" s="42">
        <f t="shared" si="42"/>
        <v>2191.41</v>
      </c>
    </row>
    <row r="47" ht="15.75" customHeight="1">
      <c r="A47" s="1"/>
      <c r="B47" s="43" t="s">
        <v>115</v>
      </c>
      <c r="C47" s="2" t="s">
        <v>116</v>
      </c>
      <c r="D47" s="43" t="s">
        <v>117</v>
      </c>
      <c r="E47" s="3">
        <v>7782.06</v>
      </c>
      <c r="F47" s="28">
        <v>15.0</v>
      </c>
      <c r="G47" s="40">
        <v>1587.0</v>
      </c>
      <c r="H47" s="3"/>
      <c r="I47" s="3"/>
      <c r="J47" s="3"/>
      <c r="K47" s="3"/>
      <c r="L47" s="3"/>
      <c r="M47" s="3"/>
      <c r="N47" s="34"/>
      <c r="O47" s="3"/>
      <c r="P47" s="3">
        <f t="shared" si="36"/>
        <v>7782.06</v>
      </c>
      <c r="Q47" s="3">
        <v>0.0</v>
      </c>
      <c r="R47" s="3"/>
      <c r="S47" s="3">
        <v>951.13</v>
      </c>
      <c r="T47" s="3">
        <v>-0.01</v>
      </c>
      <c r="U47" s="44">
        <f t="shared" si="37"/>
        <v>894.94</v>
      </c>
      <c r="V47" s="3">
        <f t="shared" si="44"/>
        <v>3433.06</v>
      </c>
      <c r="W47" s="41">
        <f t="shared" si="39"/>
        <v>4349</v>
      </c>
      <c r="X47" s="31">
        <v>440.45</v>
      </c>
      <c r="Y47" s="3">
        <f t="shared" si="40"/>
        <v>1595.32</v>
      </c>
      <c r="Z47" s="32">
        <f t="shared" si="41"/>
        <v>155.64</v>
      </c>
      <c r="AA47" s="42">
        <f t="shared" si="42"/>
        <v>2191.41</v>
      </c>
    </row>
    <row r="48" ht="15.75" customHeight="1">
      <c r="A48" s="1"/>
      <c r="B48" s="43" t="s">
        <v>118</v>
      </c>
      <c r="C48" s="2" t="s">
        <v>119</v>
      </c>
      <c r="D48" s="43" t="s">
        <v>117</v>
      </c>
      <c r="E48" s="3">
        <v>7782.06</v>
      </c>
      <c r="F48" s="28">
        <v>15.0</v>
      </c>
      <c r="G48" s="40">
        <v>944.0</v>
      </c>
      <c r="H48" s="3"/>
      <c r="I48" s="3"/>
      <c r="J48" s="3"/>
      <c r="K48" s="3"/>
      <c r="L48" s="3"/>
      <c r="M48" s="3"/>
      <c r="N48" s="34"/>
      <c r="O48" s="3"/>
      <c r="P48" s="3">
        <f t="shared" si="36"/>
        <v>7782.06</v>
      </c>
      <c r="Q48" s="3">
        <v>0.0</v>
      </c>
      <c r="R48" s="3"/>
      <c r="S48" s="3">
        <v>951.13</v>
      </c>
      <c r="T48" s="3">
        <v>-0.01</v>
      </c>
      <c r="U48" s="44">
        <f t="shared" si="37"/>
        <v>894.94</v>
      </c>
      <c r="V48" s="3">
        <f t="shared" si="44"/>
        <v>2790.06</v>
      </c>
      <c r="W48" s="41">
        <f t="shared" si="39"/>
        <v>4992</v>
      </c>
      <c r="X48" s="31">
        <v>440.45</v>
      </c>
      <c r="Y48" s="3">
        <f t="shared" si="40"/>
        <v>1595.32</v>
      </c>
      <c r="Z48" s="32">
        <f t="shared" si="41"/>
        <v>155.64</v>
      </c>
      <c r="AA48" s="42">
        <f t="shared" si="42"/>
        <v>2191.41</v>
      </c>
    </row>
    <row r="49" ht="15.75" customHeight="1">
      <c r="A49" s="1"/>
      <c r="B49" s="43" t="s">
        <v>120</v>
      </c>
      <c r="C49" s="2" t="s">
        <v>121</v>
      </c>
      <c r="D49" s="43" t="s">
        <v>117</v>
      </c>
      <c r="E49" s="3">
        <v>7782.06</v>
      </c>
      <c r="F49" s="28">
        <v>15.0</v>
      </c>
      <c r="G49" s="3"/>
      <c r="H49" s="3"/>
      <c r="I49" s="3"/>
      <c r="J49" s="3"/>
      <c r="K49" s="3"/>
      <c r="L49" s="3"/>
      <c r="M49" s="3"/>
      <c r="N49" s="34"/>
      <c r="O49" s="3"/>
      <c r="P49" s="3">
        <f t="shared" si="36"/>
        <v>7782.06</v>
      </c>
      <c r="Q49" s="3">
        <v>0.0</v>
      </c>
      <c r="R49" s="3"/>
      <c r="S49" s="3">
        <v>951.13</v>
      </c>
      <c r="T49" s="3">
        <v>0.19</v>
      </c>
      <c r="U49" s="44">
        <f t="shared" si="37"/>
        <v>894.94</v>
      </c>
      <c r="V49" s="3">
        <f t="shared" si="44"/>
        <v>1846.26</v>
      </c>
      <c r="W49" s="41">
        <f t="shared" si="39"/>
        <v>5935.8</v>
      </c>
      <c r="X49" s="31">
        <v>440.45</v>
      </c>
      <c r="Y49" s="3">
        <f t="shared" si="40"/>
        <v>1595.32</v>
      </c>
      <c r="Z49" s="32">
        <f t="shared" si="41"/>
        <v>155.64</v>
      </c>
      <c r="AA49" s="42">
        <f t="shared" si="42"/>
        <v>2191.41</v>
      </c>
    </row>
    <row r="50" ht="15.75" customHeight="1">
      <c r="A50" s="1"/>
      <c r="B50" s="43" t="s">
        <v>122</v>
      </c>
      <c r="C50" s="2" t="s">
        <v>123</v>
      </c>
      <c r="D50" s="43" t="s">
        <v>117</v>
      </c>
      <c r="E50" s="3">
        <v>7782.06</v>
      </c>
      <c r="F50" s="28">
        <v>15.0</v>
      </c>
      <c r="G50" s="3"/>
      <c r="H50" s="3"/>
      <c r="I50" s="40">
        <v>2600.78</v>
      </c>
      <c r="J50" s="3"/>
      <c r="K50" s="3"/>
      <c r="L50" s="3"/>
      <c r="M50" s="3"/>
      <c r="N50" s="34"/>
      <c r="O50" s="3"/>
      <c r="P50" s="3">
        <f t="shared" si="36"/>
        <v>7782.06</v>
      </c>
      <c r="Q50" s="3">
        <v>0.0</v>
      </c>
      <c r="R50" s="3"/>
      <c r="S50" s="3">
        <v>951.13</v>
      </c>
      <c r="T50" s="3">
        <v>0.01</v>
      </c>
      <c r="U50" s="44">
        <f t="shared" si="37"/>
        <v>894.94</v>
      </c>
      <c r="V50" s="3">
        <f>SUM(S50:U50)+G50+I50</f>
        <v>4446.86</v>
      </c>
      <c r="W50" s="41">
        <f t="shared" si="39"/>
        <v>3335.2</v>
      </c>
      <c r="X50" s="31">
        <v>440.45</v>
      </c>
      <c r="Y50" s="3">
        <f t="shared" si="40"/>
        <v>1595.32</v>
      </c>
      <c r="Z50" s="32">
        <f t="shared" si="41"/>
        <v>155.64</v>
      </c>
      <c r="AA50" s="42">
        <f t="shared" si="42"/>
        <v>2191.41</v>
      </c>
    </row>
    <row r="51" ht="15.75" customHeight="1">
      <c r="A51" s="1"/>
      <c r="B51" s="43" t="s">
        <v>124</v>
      </c>
      <c r="C51" s="2" t="s">
        <v>44</v>
      </c>
      <c r="D51" s="43" t="s">
        <v>117</v>
      </c>
      <c r="E51" s="3"/>
      <c r="F51" s="28"/>
      <c r="G51" s="3"/>
      <c r="H51" s="3"/>
      <c r="I51" s="3"/>
      <c r="J51" s="3"/>
      <c r="K51" s="3"/>
      <c r="L51" s="3"/>
      <c r="M51" s="3"/>
      <c r="N51" s="34"/>
      <c r="O51" s="3"/>
      <c r="P51" s="3">
        <f t="shared" si="36"/>
        <v>0</v>
      </c>
      <c r="Q51" s="3">
        <v>0.0</v>
      </c>
      <c r="R51" s="3"/>
      <c r="S51" s="3"/>
      <c r="T51" s="3"/>
      <c r="U51" s="44">
        <f t="shared" si="37"/>
        <v>0</v>
      </c>
      <c r="V51" s="3">
        <f t="shared" ref="V51:V52" si="45">SUM(S51:U51)+G51</f>
        <v>0</v>
      </c>
      <c r="W51" s="41">
        <f t="shared" si="39"/>
        <v>0</v>
      </c>
      <c r="X51" s="31"/>
      <c r="Y51" s="3">
        <f t="shared" si="40"/>
        <v>0</v>
      </c>
      <c r="Z51" s="32">
        <f t="shared" si="41"/>
        <v>0</v>
      </c>
      <c r="AA51" s="42">
        <f t="shared" si="42"/>
        <v>0</v>
      </c>
    </row>
    <row r="52" ht="15.75" customHeight="1">
      <c r="A52" s="1"/>
      <c r="B52" s="43" t="s">
        <v>125</v>
      </c>
      <c r="C52" s="2" t="s">
        <v>126</v>
      </c>
      <c r="D52" s="43" t="s">
        <v>127</v>
      </c>
      <c r="E52" s="3">
        <v>4844.53</v>
      </c>
      <c r="F52" s="28">
        <v>15.0</v>
      </c>
      <c r="G52" s="3"/>
      <c r="H52" s="3"/>
      <c r="I52" s="3"/>
      <c r="J52" s="3"/>
      <c r="K52" s="3"/>
      <c r="L52" s="3"/>
      <c r="M52" s="3"/>
      <c r="N52" s="34"/>
      <c r="O52" s="3"/>
      <c r="P52" s="3">
        <f t="shared" si="36"/>
        <v>4844.53</v>
      </c>
      <c r="Q52" s="3"/>
      <c r="R52" s="3"/>
      <c r="S52" s="3">
        <v>397.02</v>
      </c>
      <c r="T52" s="3">
        <v>0.19</v>
      </c>
      <c r="U52" s="44">
        <f t="shared" si="37"/>
        <v>557.12</v>
      </c>
      <c r="V52" s="3">
        <f t="shared" si="45"/>
        <v>954.33</v>
      </c>
      <c r="W52" s="41">
        <f t="shared" si="39"/>
        <v>3890.2</v>
      </c>
      <c r="X52" s="31">
        <v>357.56</v>
      </c>
      <c r="Y52" s="3">
        <f t="shared" si="40"/>
        <v>993.13</v>
      </c>
      <c r="Z52" s="32">
        <f t="shared" si="41"/>
        <v>96.89</v>
      </c>
      <c r="AA52" s="42">
        <f t="shared" si="42"/>
        <v>1447.58</v>
      </c>
    </row>
    <row r="53" ht="15.75" customHeight="1">
      <c r="A53" s="1"/>
      <c r="B53" s="24" t="s">
        <v>35</v>
      </c>
      <c r="C53" s="36"/>
      <c r="D53" s="37"/>
      <c r="E53" s="38">
        <f>SUM(E35:E52)</f>
        <v>98436.47</v>
      </c>
      <c r="F53" s="38"/>
      <c r="G53" s="38">
        <f t="shared" ref="G53:AA53" si="46">SUM(G35:G52)</f>
        <v>7110.75</v>
      </c>
      <c r="H53" s="38">
        <f t="shared" si="46"/>
        <v>0</v>
      </c>
      <c r="I53" s="38">
        <f t="shared" si="46"/>
        <v>5594.82</v>
      </c>
      <c r="J53" s="38">
        <f t="shared" si="46"/>
        <v>4601.4</v>
      </c>
      <c r="K53" s="38">
        <f t="shared" si="46"/>
        <v>199.13</v>
      </c>
      <c r="L53" s="38">
        <f t="shared" si="46"/>
        <v>1375.93</v>
      </c>
      <c r="M53" s="38">
        <f t="shared" si="46"/>
        <v>37.35</v>
      </c>
      <c r="N53" s="38">
        <f t="shared" si="46"/>
        <v>0</v>
      </c>
      <c r="O53" s="38">
        <f t="shared" si="46"/>
        <v>0</v>
      </c>
      <c r="P53" s="38">
        <f t="shared" si="46"/>
        <v>98436.47</v>
      </c>
      <c r="Q53" s="38">
        <f t="shared" si="46"/>
        <v>0</v>
      </c>
      <c r="R53" s="38">
        <f t="shared" si="46"/>
        <v>0</v>
      </c>
      <c r="S53" s="38">
        <f t="shared" si="46"/>
        <v>11854.86</v>
      </c>
      <c r="T53" s="38">
        <f t="shared" si="46"/>
        <v>0.8</v>
      </c>
      <c r="U53" s="38">
        <f t="shared" si="46"/>
        <v>11320.23</v>
      </c>
      <c r="V53" s="38">
        <f t="shared" si="46"/>
        <v>42095.27</v>
      </c>
      <c r="W53" s="38">
        <f t="shared" si="46"/>
        <v>56341.2</v>
      </c>
      <c r="X53" s="38">
        <f t="shared" si="46"/>
        <v>5648.8</v>
      </c>
      <c r="Y53" s="38">
        <f t="shared" si="46"/>
        <v>20179.45</v>
      </c>
      <c r="Z53" s="38">
        <f t="shared" si="46"/>
        <v>1968.72</v>
      </c>
      <c r="AA53" s="38">
        <f t="shared" si="46"/>
        <v>27796.97</v>
      </c>
    </row>
    <row r="54" ht="15.75" customHeight="1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9"/>
      <c r="X54" s="1"/>
      <c r="Y54" s="1"/>
      <c r="Z54" s="1"/>
      <c r="AA54" s="1"/>
    </row>
    <row r="55" ht="15.75" customHeight="1">
      <c r="A55" s="1"/>
      <c r="B55" s="24" t="s">
        <v>128</v>
      </c>
      <c r="C55" s="36" t="s">
        <v>129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9"/>
      <c r="X55" s="1"/>
      <c r="Y55" s="1"/>
      <c r="Z55" s="1"/>
      <c r="AA55" s="1"/>
    </row>
    <row r="56" ht="15.75" customHeight="1">
      <c r="A56" s="1"/>
      <c r="B56" s="1" t="s">
        <v>130</v>
      </c>
      <c r="C56" s="2" t="s">
        <v>131</v>
      </c>
      <c r="D56" s="1" t="s">
        <v>132</v>
      </c>
      <c r="E56" s="3">
        <v>7989.28</v>
      </c>
      <c r="F56" s="28">
        <v>15.0</v>
      </c>
      <c r="G56" s="47">
        <v>1058.07</v>
      </c>
      <c r="H56" s="3"/>
      <c r="I56" s="3"/>
      <c r="J56" s="3"/>
      <c r="K56" s="3"/>
      <c r="L56" s="3"/>
      <c r="M56" s="3"/>
      <c r="N56" s="34">
        <v>6.34</v>
      </c>
      <c r="O56" s="3"/>
      <c r="P56" s="3">
        <f t="shared" ref="P56:P61" si="47">E56+-N56</f>
        <v>7982.94</v>
      </c>
      <c r="Q56" s="3"/>
      <c r="R56" s="3"/>
      <c r="S56" s="3">
        <v>995.41</v>
      </c>
      <c r="T56" s="3">
        <v>0.09</v>
      </c>
      <c r="U56" s="29">
        <f t="shared" ref="U56:U61" si="48">ROUND(E56*0.115,2)</f>
        <v>918.77</v>
      </c>
      <c r="V56" s="3">
        <f t="shared" ref="V56:V61" si="49">SUM(S56:U56)+G56</f>
        <v>2972.34</v>
      </c>
      <c r="W56" s="30">
        <f t="shared" ref="W56:W61" si="50">P56-V56</f>
        <v>5010.6</v>
      </c>
      <c r="X56" s="31">
        <v>446.29</v>
      </c>
      <c r="Y56" s="3">
        <f t="shared" ref="Y56:Y61" si="51">ROUND(+E56*17.5%,2)+ROUND(E56*3%,2)</f>
        <v>1637.8</v>
      </c>
      <c r="Z56" s="32">
        <f t="shared" ref="Z56:Z61" si="52">ROUND(+E56*2%,2)</f>
        <v>159.79</v>
      </c>
      <c r="AA56" s="33">
        <f t="shared" ref="AA56:AA61" si="53">SUM(X56:Z56)</f>
        <v>2243.88</v>
      </c>
    </row>
    <row r="57" ht="15.75" customHeight="1">
      <c r="A57" s="1"/>
      <c r="B57" s="1" t="s">
        <v>133</v>
      </c>
      <c r="C57" s="2" t="s">
        <v>134</v>
      </c>
      <c r="D57" s="1" t="s">
        <v>90</v>
      </c>
      <c r="E57" s="3">
        <v>7782.06</v>
      </c>
      <c r="F57" s="28">
        <v>15.0</v>
      </c>
      <c r="G57" s="40">
        <v>1518.83</v>
      </c>
      <c r="H57" s="3"/>
      <c r="I57" s="3"/>
      <c r="J57" s="3"/>
      <c r="K57" s="3"/>
      <c r="L57" s="3"/>
      <c r="M57" s="3"/>
      <c r="N57" s="34"/>
      <c r="O57" s="3"/>
      <c r="P57" s="3">
        <f t="shared" si="47"/>
        <v>7782.06</v>
      </c>
      <c r="Q57" s="3"/>
      <c r="R57" s="3"/>
      <c r="S57" s="3">
        <v>951.13</v>
      </c>
      <c r="T57" s="3">
        <v>-0.04</v>
      </c>
      <c r="U57" s="29">
        <f t="shared" si="48"/>
        <v>894.94</v>
      </c>
      <c r="V57" s="3">
        <f t="shared" si="49"/>
        <v>3364.86</v>
      </c>
      <c r="W57" s="41">
        <f t="shared" si="50"/>
        <v>4417.2</v>
      </c>
      <c r="X57" s="31">
        <v>440.45</v>
      </c>
      <c r="Y57" s="3">
        <f t="shared" si="51"/>
        <v>1595.32</v>
      </c>
      <c r="Z57" s="32">
        <f t="shared" si="52"/>
        <v>155.64</v>
      </c>
      <c r="AA57" s="42">
        <f t="shared" si="53"/>
        <v>2191.41</v>
      </c>
    </row>
    <row r="58" ht="15.75" customHeight="1">
      <c r="A58" s="1"/>
      <c r="B58" s="1" t="s">
        <v>135</v>
      </c>
      <c r="C58" s="2" t="s">
        <v>136</v>
      </c>
      <c r="D58" s="1" t="s">
        <v>117</v>
      </c>
      <c r="E58" s="3">
        <v>7513.82</v>
      </c>
      <c r="F58" s="28">
        <v>15.0</v>
      </c>
      <c r="G58" s="3"/>
      <c r="H58" s="3"/>
      <c r="I58" s="3"/>
      <c r="J58" s="3"/>
      <c r="K58" s="3"/>
      <c r="L58" s="3"/>
      <c r="M58" s="3"/>
      <c r="N58" s="34"/>
      <c r="O58" s="3"/>
      <c r="P58" s="3">
        <f t="shared" si="47"/>
        <v>7513.82</v>
      </c>
      <c r="Q58" s="3"/>
      <c r="R58" s="3"/>
      <c r="S58" s="3">
        <v>893.85</v>
      </c>
      <c r="T58" s="3">
        <v>-0.12</v>
      </c>
      <c r="U58" s="29">
        <f t="shared" si="48"/>
        <v>864.09</v>
      </c>
      <c r="V58" s="3">
        <f t="shared" si="49"/>
        <v>1757.82</v>
      </c>
      <c r="W58" s="41">
        <f t="shared" si="50"/>
        <v>5756</v>
      </c>
      <c r="X58" s="31">
        <v>432.88</v>
      </c>
      <c r="Y58" s="3">
        <f t="shared" si="51"/>
        <v>1540.33</v>
      </c>
      <c r="Z58" s="32">
        <f t="shared" si="52"/>
        <v>150.28</v>
      </c>
      <c r="AA58" s="42">
        <f t="shared" si="53"/>
        <v>2123.49</v>
      </c>
    </row>
    <row r="59" ht="15.75" customHeight="1">
      <c r="A59" s="1" t="s">
        <v>137</v>
      </c>
      <c r="B59" s="43" t="s">
        <v>138</v>
      </c>
      <c r="C59" s="2" t="s">
        <v>139</v>
      </c>
      <c r="D59" s="48" t="s">
        <v>140</v>
      </c>
      <c r="E59" s="3">
        <v>7549.4</v>
      </c>
      <c r="F59" s="28">
        <v>15.0</v>
      </c>
      <c r="G59" s="40">
        <v>770.0</v>
      </c>
      <c r="H59" s="3"/>
      <c r="I59" s="3"/>
      <c r="J59" s="3"/>
      <c r="K59" s="3"/>
      <c r="L59" s="3"/>
      <c r="M59" s="3"/>
      <c r="N59" s="34"/>
      <c r="O59" s="3"/>
      <c r="P59" s="3">
        <f t="shared" si="47"/>
        <v>7549.4</v>
      </c>
      <c r="Q59" s="3"/>
      <c r="R59" s="3"/>
      <c r="S59" s="3">
        <v>901.47</v>
      </c>
      <c r="T59" s="3">
        <v>-0.05</v>
      </c>
      <c r="U59" s="29">
        <f t="shared" si="48"/>
        <v>868.18</v>
      </c>
      <c r="V59" s="3">
        <f t="shared" si="49"/>
        <v>2539.6</v>
      </c>
      <c r="W59" s="41">
        <f t="shared" si="50"/>
        <v>5009.8</v>
      </c>
      <c r="X59" s="31">
        <v>433.88</v>
      </c>
      <c r="Y59" s="3">
        <f t="shared" si="51"/>
        <v>1547.63</v>
      </c>
      <c r="Z59" s="32">
        <f t="shared" si="52"/>
        <v>150.99</v>
      </c>
      <c r="AA59" s="42">
        <f t="shared" si="53"/>
        <v>2132.5</v>
      </c>
    </row>
    <row r="60" ht="15.75" customHeight="1">
      <c r="A60" s="1"/>
      <c r="B60" s="43" t="s">
        <v>141</v>
      </c>
      <c r="C60" s="2" t="s">
        <v>142</v>
      </c>
      <c r="D60" s="48" t="s">
        <v>140</v>
      </c>
      <c r="E60" s="3">
        <v>7549.4</v>
      </c>
      <c r="F60" s="28">
        <v>15.0</v>
      </c>
      <c r="G60" s="3"/>
      <c r="H60" s="3"/>
      <c r="I60" s="3"/>
      <c r="J60" s="3"/>
      <c r="K60" s="3"/>
      <c r="L60" s="3"/>
      <c r="M60" s="3"/>
      <c r="N60" s="34"/>
      <c r="O60" s="3"/>
      <c r="P60" s="3">
        <f t="shared" si="47"/>
        <v>7549.4</v>
      </c>
      <c r="Q60" s="3"/>
      <c r="R60" s="3"/>
      <c r="S60" s="3">
        <v>901.47</v>
      </c>
      <c r="T60" s="3">
        <v>-0.05</v>
      </c>
      <c r="U60" s="29">
        <f t="shared" si="48"/>
        <v>868.18</v>
      </c>
      <c r="V60" s="3">
        <f t="shared" si="49"/>
        <v>1769.6</v>
      </c>
      <c r="W60" s="41">
        <f t="shared" si="50"/>
        <v>5779.8</v>
      </c>
      <c r="X60" s="31">
        <v>433.88</v>
      </c>
      <c r="Y60" s="3">
        <f t="shared" si="51"/>
        <v>1547.63</v>
      </c>
      <c r="Z60" s="32">
        <f t="shared" si="52"/>
        <v>150.99</v>
      </c>
      <c r="AA60" s="42">
        <f t="shared" si="53"/>
        <v>2132.5</v>
      </c>
    </row>
    <row r="61" ht="15.75" customHeight="1">
      <c r="A61" s="1"/>
      <c r="B61" s="43" t="s">
        <v>143</v>
      </c>
      <c r="C61" s="2" t="s">
        <v>144</v>
      </c>
      <c r="D61" s="48" t="s">
        <v>140</v>
      </c>
      <c r="E61" s="3">
        <v>7549.4</v>
      </c>
      <c r="F61" s="28">
        <v>15.0</v>
      </c>
      <c r="G61" s="40">
        <v>2097.0</v>
      </c>
      <c r="H61" s="3"/>
      <c r="I61" s="3"/>
      <c r="J61" s="3"/>
      <c r="K61" s="3"/>
      <c r="L61" s="3"/>
      <c r="M61" s="3"/>
      <c r="N61" s="34"/>
      <c r="O61" s="3"/>
      <c r="P61" s="3">
        <f t="shared" si="47"/>
        <v>7549.4</v>
      </c>
      <c r="Q61" s="3"/>
      <c r="R61" s="3"/>
      <c r="S61" s="3">
        <v>901.47</v>
      </c>
      <c r="T61" s="3">
        <v>-0.05</v>
      </c>
      <c r="U61" s="29">
        <f t="shared" si="48"/>
        <v>868.18</v>
      </c>
      <c r="V61" s="3">
        <f t="shared" si="49"/>
        <v>3866.6</v>
      </c>
      <c r="W61" s="41">
        <f t="shared" si="50"/>
        <v>3682.8</v>
      </c>
      <c r="X61" s="31">
        <v>433.88</v>
      </c>
      <c r="Y61" s="3">
        <f t="shared" si="51"/>
        <v>1547.63</v>
      </c>
      <c r="Z61" s="32">
        <f t="shared" si="52"/>
        <v>150.99</v>
      </c>
      <c r="AA61" s="42">
        <f t="shared" si="53"/>
        <v>2132.5</v>
      </c>
    </row>
    <row r="62" ht="15.75" customHeight="1">
      <c r="A62" s="1"/>
      <c r="B62" s="24" t="s">
        <v>35</v>
      </c>
      <c r="C62" s="36"/>
      <c r="D62" s="37"/>
      <c r="E62" s="38">
        <f>SUM(E56:E61)</f>
        <v>45933.36</v>
      </c>
      <c r="F62" s="38"/>
      <c r="G62" s="38">
        <f t="shared" ref="G62:H62" si="54">SUM(G56:G61)</f>
        <v>5443.9</v>
      </c>
      <c r="H62" s="38">
        <f t="shared" si="54"/>
        <v>0</v>
      </c>
      <c r="I62" s="38"/>
      <c r="J62" s="38"/>
      <c r="K62" s="38"/>
      <c r="L62" s="38"/>
      <c r="M62" s="38"/>
      <c r="N62" s="38">
        <f t="shared" ref="N62:AA62" si="55">SUM(N56:N61)</f>
        <v>6.34</v>
      </c>
      <c r="O62" s="38">
        <f t="shared" si="55"/>
        <v>0</v>
      </c>
      <c r="P62" s="38">
        <f t="shared" si="55"/>
        <v>45927.02</v>
      </c>
      <c r="Q62" s="38">
        <f t="shared" si="55"/>
        <v>0</v>
      </c>
      <c r="R62" s="38">
        <f t="shared" si="55"/>
        <v>0</v>
      </c>
      <c r="S62" s="38">
        <f t="shared" si="55"/>
        <v>5544.8</v>
      </c>
      <c r="T62" s="38">
        <f t="shared" si="55"/>
        <v>-0.22</v>
      </c>
      <c r="U62" s="38">
        <f t="shared" si="55"/>
        <v>5282.34</v>
      </c>
      <c r="V62" s="38">
        <f t="shared" si="55"/>
        <v>16270.82</v>
      </c>
      <c r="W62" s="38">
        <f t="shared" si="55"/>
        <v>29656.2</v>
      </c>
      <c r="X62" s="38">
        <f t="shared" si="55"/>
        <v>2621.26</v>
      </c>
      <c r="Y62" s="38">
        <f t="shared" si="55"/>
        <v>9416.34</v>
      </c>
      <c r="Z62" s="38">
        <f t="shared" si="55"/>
        <v>918.68</v>
      </c>
      <c r="AA62" s="38">
        <f t="shared" si="55"/>
        <v>12956.28</v>
      </c>
    </row>
    <row r="63" ht="15.75" customHeight="1">
      <c r="A63" s="1"/>
      <c r="B63" s="24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9"/>
      <c r="Q63" s="49"/>
      <c r="R63" s="49"/>
      <c r="S63" s="49"/>
      <c r="T63" s="49"/>
      <c r="U63" s="49"/>
      <c r="V63" s="49"/>
      <c r="W63" s="50"/>
      <c r="X63" s="51"/>
      <c r="Y63" s="51"/>
      <c r="Z63" s="51"/>
      <c r="AA63" s="51"/>
    </row>
    <row r="64" ht="15.75" customHeight="1">
      <c r="A64" s="1"/>
      <c r="B64" s="24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9"/>
      <c r="Q64" s="49"/>
      <c r="R64" s="49"/>
      <c r="S64" s="49"/>
      <c r="T64" s="49"/>
      <c r="U64" s="49"/>
      <c r="V64" s="49"/>
      <c r="W64" s="50"/>
      <c r="X64" s="51"/>
      <c r="Y64" s="51"/>
      <c r="Z64" s="51"/>
      <c r="AA64" s="5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2"/>
      <c r="X65" s="1"/>
      <c r="Y65" s="1"/>
      <c r="Z65" s="1"/>
      <c r="AA65" s="1"/>
    </row>
    <row r="66" ht="15.75" customHeight="1">
      <c r="A66" s="1"/>
      <c r="B66" s="1"/>
      <c r="C66" s="53" t="s">
        <v>145</v>
      </c>
      <c r="D66" s="1"/>
      <c r="E66" s="54">
        <f>E9+E25+E32+E53+E62</f>
        <v>292483.042</v>
      </c>
      <c r="F66" s="54"/>
      <c r="G66" s="54">
        <f t="shared" ref="G66:AA66" si="56">G9+G25+G32+G53+G62</f>
        <v>28749.77</v>
      </c>
      <c r="H66" s="54" t="str">
        <f t="shared" si="56"/>
        <v>#REF!</v>
      </c>
      <c r="I66" s="54">
        <f t="shared" si="56"/>
        <v>5594.82</v>
      </c>
      <c r="J66" s="54">
        <f t="shared" si="56"/>
        <v>4601.4</v>
      </c>
      <c r="K66" s="54">
        <f t="shared" si="56"/>
        <v>199.13</v>
      </c>
      <c r="L66" s="54">
        <f t="shared" si="56"/>
        <v>1375.93</v>
      </c>
      <c r="M66" s="54">
        <f t="shared" si="56"/>
        <v>37.35</v>
      </c>
      <c r="N66" s="54">
        <f t="shared" si="56"/>
        <v>29.02</v>
      </c>
      <c r="O66" s="54">
        <f t="shared" si="56"/>
        <v>0</v>
      </c>
      <c r="P66" s="54">
        <f t="shared" si="56"/>
        <v>292454.022</v>
      </c>
      <c r="Q66" s="54">
        <f t="shared" si="56"/>
        <v>9373.13</v>
      </c>
      <c r="R66" s="54">
        <f t="shared" si="56"/>
        <v>9373.03</v>
      </c>
      <c r="S66" s="54">
        <f t="shared" si="56"/>
        <v>37179.66</v>
      </c>
      <c r="T66" s="54">
        <f t="shared" si="56"/>
        <v>0.9</v>
      </c>
      <c r="U66" s="54">
        <f t="shared" si="56"/>
        <v>33803.26</v>
      </c>
      <c r="V66" s="54">
        <f t="shared" si="56"/>
        <v>111542.22</v>
      </c>
      <c r="W66" s="54">
        <f t="shared" si="56"/>
        <v>180911.802</v>
      </c>
      <c r="X66" s="54">
        <f t="shared" si="56"/>
        <v>16465.95</v>
      </c>
      <c r="Y66" s="54">
        <f t="shared" si="56"/>
        <v>60257.8946</v>
      </c>
      <c r="Z66" s="54">
        <f t="shared" si="56"/>
        <v>5878.82</v>
      </c>
      <c r="AA66" s="54">
        <f t="shared" si="56"/>
        <v>82602.6646</v>
      </c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  <c r="X67" s="50"/>
      <c r="Y67" s="50"/>
      <c r="Z67" s="1"/>
      <c r="AA67" s="1"/>
    </row>
    <row r="68" ht="15.75" customHeight="1">
      <c r="A68" s="1"/>
      <c r="B68" s="1"/>
      <c r="C68" s="43" t="s">
        <v>146</v>
      </c>
      <c r="D68" s="1"/>
      <c r="E68" s="3">
        <f>E7+E8+E12+E13+E14+E15+5467.23+E17+E18+E19+E20+E21+E22+E23+E24+E28+E29+E30+E31+E36+E37+E38+E39+E40+E41+E42+E43+E44+E45+E46+E47+E48+E49+E50+E51+E52+E56+E57+E58+E59+E60+E61</f>
        <v>293940.97</v>
      </c>
      <c r="F68" s="3">
        <f>E68*17.5%</f>
        <v>51439.66975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55"/>
      <c r="X68" s="1"/>
      <c r="Y68" s="3"/>
      <c r="Z68" s="1"/>
      <c r="AA68" s="1"/>
    </row>
    <row r="69" ht="15.75" customHeight="1">
      <c r="A69" s="1"/>
      <c r="B69" s="1"/>
      <c r="C69" s="43" t="s">
        <v>147</v>
      </c>
      <c r="D69" s="1"/>
      <c r="E69" s="3">
        <f>E68</f>
        <v>293940.97</v>
      </c>
      <c r="F69" s="3">
        <f>E69*3%</f>
        <v>8818.2291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ht="15.75" customHeight="1">
      <c r="A70" s="1"/>
      <c r="B70" s="1"/>
      <c r="C70" s="1"/>
      <c r="D70" s="1"/>
      <c r="E70" s="1"/>
      <c r="F70" s="3">
        <f>SUM(F68:F69)</f>
        <v>60257.89885</v>
      </c>
      <c r="G70" s="3"/>
      <c r="H70" s="1"/>
      <c r="I70" s="1"/>
      <c r="J70" s="1"/>
      <c r="K70" s="1"/>
      <c r="L70" s="1"/>
      <c r="M70" s="1"/>
      <c r="N70" s="31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ht="15.75" customHeight="1">
      <c r="A75" s="1"/>
      <c r="B75" s="1"/>
      <c r="C75" s="1"/>
      <c r="D75" s="1"/>
      <c r="E75" s="56"/>
      <c r="F75" s="57"/>
      <c r="G75" s="28"/>
      <c r="H75" s="28"/>
      <c r="I75" s="28"/>
      <c r="J75" s="28"/>
      <c r="K75" s="28"/>
      <c r="L75" s="28"/>
      <c r="M75" s="28"/>
      <c r="N75" s="1"/>
      <c r="O75" s="1"/>
      <c r="P75" s="1"/>
      <c r="Q75" s="1"/>
      <c r="R75" s="1"/>
      <c r="S75" s="1"/>
      <c r="T75" s="1"/>
      <c r="U75" s="28"/>
      <c r="W75" s="2"/>
      <c r="X75" s="1"/>
      <c r="Y75" s="1"/>
      <c r="Z75" s="1"/>
      <c r="AA75" s="1"/>
    </row>
    <row r="76" ht="15.75" customHeight="1">
      <c r="A76" s="1"/>
      <c r="B76" s="1"/>
      <c r="C76" s="1"/>
      <c r="D76" s="1"/>
      <c r="E76" s="28" t="s">
        <v>148</v>
      </c>
      <c r="G76" s="28"/>
      <c r="H76" s="28"/>
      <c r="I76" s="28"/>
      <c r="J76" s="28"/>
      <c r="K76" s="28"/>
      <c r="L76" s="28"/>
      <c r="M76" s="28"/>
      <c r="N76" s="1"/>
      <c r="O76" s="1"/>
      <c r="P76" s="1"/>
      <c r="Q76" s="1"/>
      <c r="R76" s="1"/>
      <c r="S76" s="1"/>
      <c r="T76" s="1"/>
      <c r="U76" s="1"/>
      <c r="V76" s="1"/>
      <c r="W76" s="58" t="s">
        <v>149</v>
      </c>
      <c r="X76" s="59"/>
      <c r="Y76" s="28"/>
      <c r="Z76" s="1"/>
      <c r="AA76" s="1"/>
    </row>
    <row r="77" ht="15.75" customHeight="1">
      <c r="A77" s="1"/>
      <c r="B77" s="1"/>
      <c r="C77" s="1"/>
      <c r="D77" s="1"/>
      <c r="E77" s="1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151</v>
      </c>
      <c r="X77" s="1"/>
      <c r="Y77" s="1"/>
      <c r="Z77" s="1"/>
      <c r="AA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4:AA4"/>
    <mergeCell ref="E75:F75"/>
    <mergeCell ref="U75:V75"/>
    <mergeCell ref="E76:F76"/>
    <mergeCell ref="W76:X7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9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</row>
    <row r="3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4"/>
      <c r="Z3" s="1"/>
      <c r="AA3" s="1"/>
      <c r="AB3" s="1"/>
      <c r="AC3" s="1"/>
    </row>
    <row r="4">
      <c r="A4" s="1"/>
      <c r="B4" s="5" t="s">
        <v>152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>
      <c r="A5" s="7"/>
      <c r="B5" s="8" t="s">
        <v>1</v>
      </c>
      <c r="C5" s="9" t="s">
        <v>2</v>
      </c>
      <c r="D5" s="10" t="s">
        <v>3</v>
      </c>
      <c r="E5" s="11" t="s">
        <v>4</v>
      </c>
      <c r="F5" s="12" t="s">
        <v>5</v>
      </c>
      <c r="G5" s="13" t="s">
        <v>6</v>
      </c>
      <c r="H5" s="14" t="s">
        <v>7</v>
      </c>
      <c r="I5" s="15" t="s">
        <v>8</v>
      </c>
      <c r="J5" s="13" t="s">
        <v>9</v>
      </c>
      <c r="K5" s="13" t="s">
        <v>10</v>
      </c>
      <c r="L5" s="16" t="s">
        <v>11</v>
      </c>
      <c r="M5" s="16" t="s">
        <v>12</v>
      </c>
      <c r="N5" s="17" t="s">
        <v>13</v>
      </c>
      <c r="O5" s="10" t="s">
        <v>14</v>
      </c>
      <c r="P5" s="10" t="s">
        <v>153</v>
      </c>
      <c r="Q5" s="10" t="s">
        <v>15</v>
      </c>
      <c r="R5" s="18" t="s">
        <v>16</v>
      </c>
      <c r="S5" s="12" t="s">
        <v>17</v>
      </c>
      <c r="T5" s="12" t="s">
        <v>18</v>
      </c>
      <c r="U5" s="19" t="s">
        <v>154</v>
      </c>
      <c r="V5" s="19" t="s">
        <v>19</v>
      </c>
      <c r="W5" s="20" t="s">
        <v>20</v>
      </c>
      <c r="X5" s="21" t="s">
        <v>21</v>
      </c>
      <c r="Y5" s="22" t="s">
        <v>22</v>
      </c>
      <c r="Z5" s="18" t="s">
        <v>23</v>
      </c>
      <c r="AA5" s="18" t="s">
        <v>24</v>
      </c>
      <c r="AB5" s="23" t="s">
        <v>25</v>
      </c>
      <c r="AC5" s="23" t="s">
        <v>26</v>
      </c>
    </row>
    <row r="6">
      <c r="A6" s="1"/>
      <c r="B6" s="24" t="s">
        <v>27</v>
      </c>
      <c r="C6" s="25" t="s">
        <v>28</v>
      </c>
      <c r="D6" s="25"/>
      <c r="E6" s="26"/>
      <c r="F6" s="3"/>
      <c r="G6" s="27"/>
      <c r="H6" s="3"/>
      <c r="I6" s="3"/>
      <c r="J6" s="3"/>
      <c r="K6" s="3"/>
      <c r="L6" s="3"/>
      <c r="M6" s="3"/>
      <c r="N6" s="26"/>
      <c r="O6" s="26"/>
      <c r="P6" s="26"/>
      <c r="Q6" s="26"/>
      <c r="R6" s="3"/>
      <c r="S6" s="3"/>
      <c r="T6" s="3"/>
      <c r="U6" s="3"/>
      <c r="V6" s="26"/>
      <c r="W6" s="3"/>
      <c r="X6" s="26"/>
      <c r="Y6" s="4"/>
      <c r="Z6" s="1"/>
      <c r="AA6" s="1"/>
      <c r="AB6" s="1"/>
      <c r="AC6" s="1"/>
    </row>
    <row r="7">
      <c r="A7" s="1"/>
      <c r="B7" s="1" t="s">
        <v>29</v>
      </c>
      <c r="C7" s="2" t="s">
        <v>30</v>
      </c>
      <c r="D7" s="1" t="s">
        <v>31</v>
      </c>
      <c r="E7" s="3">
        <v>24148.8</v>
      </c>
      <c r="F7" s="28">
        <v>15.0</v>
      </c>
      <c r="G7" s="3"/>
      <c r="H7" s="3"/>
      <c r="I7" s="3"/>
      <c r="J7" s="3"/>
      <c r="K7" s="3"/>
      <c r="L7" s="3"/>
      <c r="M7" s="3"/>
      <c r="N7" s="3"/>
      <c r="O7" s="3"/>
      <c r="P7" s="3">
        <f t="shared" ref="P7:P8" si="1">E7/15*10*25%/184*92</f>
        <v>2012.4</v>
      </c>
      <c r="Q7" s="3">
        <f t="shared" ref="Q7:Q8" si="2">E7+-N7+P7</f>
        <v>26161.2</v>
      </c>
      <c r="R7" s="3">
        <v>0.0</v>
      </c>
      <c r="S7" s="3"/>
      <c r="T7" s="3">
        <v>5489.54</v>
      </c>
      <c r="U7" s="3"/>
      <c r="V7" s="3">
        <v>-0.05</v>
      </c>
      <c r="W7" s="29">
        <f t="shared" ref="W7:W8" si="3">ROUND(E7*0.115,2)</f>
        <v>2777.11</v>
      </c>
      <c r="X7" s="3">
        <f t="shared" ref="X7:X8" si="4">SUM(T7:W7)+G7</f>
        <v>8266.6</v>
      </c>
      <c r="Y7" s="30">
        <f t="shared" ref="Y7:Y8" si="5">Q7-X7</f>
        <v>17894.6</v>
      </c>
      <c r="Z7" s="31">
        <v>902.25</v>
      </c>
      <c r="AA7" s="3">
        <f t="shared" ref="AA7:AA8" si="6">+E7*17.5%+E7*3%</f>
        <v>4950.504</v>
      </c>
      <c r="AB7" s="32">
        <f t="shared" ref="AB7:AB8" si="7">ROUND(+E7*2%,2)</f>
        <v>482.98</v>
      </c>
      <c r="AC7" s="33">
        <f t="shared" ref="AC7:AC8" si="8">SUM(Z7:AB7)</f>
        <v>6335.734</v>
      </c>
    </row>
    <row r="8">
      <c r="A8" s="1"/>
      <c r="B8" s="1" t="s">
        <v>32</v>
      </c>
      <c r="C8" s="2" t="s">
        <v>33</v>
      </c>
      <c r="D8" s="1" t="s">
        <v>34</v>
      </c>
      <c r="E8" s="3">
        <v>6705.32</v>
      </c>
      <c r="F8" s="28">
        <v>15.0</v>
      </c>
      <c r="G8" s="3"/>
      <c r="H8" s="3"/>
      <c r="I8" s="3"/>
      <c r="J8" s="3"/>
      <c r="K8" s="3"/>
      <c r="L8" s="3"/>
      <c r="M8" s="3"/>
      <c r="N8" s="34">
        <v>1.06</v>
      </c>
      <c r="O8" s="3"/>
      <c r="P8" s="3">
        <f t="shared" si="1"/>
        <v>558.7766667</v>
      </c>
      <c r="Q8" s="3">
        <f t="shared" si="2"/>
        <v>7263.036667</v>
      </c>
      <c r="R8" s="3">
        <v>0.0</v>
      </c>
      <c r="S8" s="3"/>
      <c r="T8" s="3">
        <v>721.12</v>
      </c>
      <c r="U8" s="3"/>
      <c r="V8" s="3">
        <v>0.21</v>
      </c>
      <c r="W8" s="29">
        <f t="shared" si="3"/>
        <v>771.11</v>
      </c>
      <c r="X8" s="3">
        <f t="shared" si="4"/>
        <v>1492.44</v>
      </c>
      <c r="Y8" s="30">
        <f t="shared" si="5"/>
        <v>5770.596667</v>
      </c>
      <c r="Z8" s="31">
        <v>410.07</v>
      </c>
      <c r="AA8" s="3">
        <f t="shared" si="6"/>
        <v>1374.5906</v>
      </c>
      <c r="AB8" s="32">
        <f t="shared" si="7"/>
        <v>134.11</v>
      </c>
      <c r="AC8" s="33">
        <f t="shared" si="8"/>
        <v>1918.7706</v>
      </c>
    </row>
    <row r="9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0</v>
      </c>
      <c r="H9" s="38"/>
      <c r="I9" s="38"/>
      <c r="J9" s="38"/>
      <c r="K9" s="38"/>
      <c r="L9" s="38"/>
      <c r="M9" s="38"/>
      <c r="N9" s="38">
        <f t="shared" ref="N9:T9" si="9">SUM(N7:N8)</f>
        <v>1.06</v>
      </c>
      <c r="O9" s="38">
        <f t="shared" si="9"/>
        <v>0</v>
      </c>
      <c r="P9" s="38">
        <f t="shared" si="9"/>
        <v>2571.176667</v>
      </c>
      <c r="Q9" s="38">
        <f t="shared" si="9"/>
        <v>33424.23667</v>
      </c>
      <c r="R9" s="38">
        <f t="shared" si="9"/>
        <v>0</v>
      </c>
      <c r="S9" s="38">
        <f t="shared" si="9"/>
        <v>0</v>
      </c>
      <c r="T9" s="38">
        <f t="shared" si="9"/>
        <v>6210.66</v>
      </c>
      <c r="U9" s="38"/>
      <c r="V9" s="38">
        <f t="shared" ref="V9:AC9" si="10">SUM(V7:V8)</f>
        <v>0.16</v>
      </c>
      <c r="W9" s="38">
        <f t="shared" si="10"/>
        <v>3548.22</v>
      </c>
      <c r="X9" s="38">
        <f t="shared" si="10"/>
        <v>9759.04</v>
      </c>
      <c r="Y9" s="38">
        <f t="shared" si="10"/>
        <v>23665.19667</v>
      </c>
      <c r="Z9" s="38">
        <f t="shared" si="10"/>
        <v>1312.32</v>
      </c>
      <c r="AA9" s="38">
        <f t="shared" si="10"/>
        <v>6325.0946</v>
      </c>
      <c r="AB9" s="38">
        <f t="shared" si="10"/>
        <v>617.09</v>
      </c>
      <c r="AC9" s="38">
        <f t="shared" si="10"/>
        <v>8254.5046</v>
      </c>
    </row>
    <row r="10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9"/>
      <c r="Z10" s="1"/>
      <c r="AA10" s="1"/>
      <c r="AB10" s="1"/>
      <c r="AC10" s="1"/>
    </row>
    <row r="11">
      <c r="A11" s="1"/>
      <c r="B11" s="24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9"/>
      <c r="Z11" s="1"/>
      <c r="AA11" s="1"/>
      <c r="AB11" s="1"/>
      <c r="AC11" s="1"/>
    </row>
    <row r="12">
      <c r="A12" s="1"/>
      <c r="B12" s="1" t="s">
        <v>38</v>
      </c>
      <c r="C12" s="2" t="s">
        <v>39</v>
      </c>
      <c r="D12" s="1" t="s">
        <v>40</v>
      </c>
      <c r="E12" s="3">
        <v>14250.0</v>
      </c>
      <c r="F12" s="28">
        <v>15.0</v>
      </c>
      <c r="G12" s="3"/>
      <c r="H12" s="3"/>
      <c r="I12" s="3"/>
      <c r="J12" s="3"/>
      <c r="K12" s="3"/>
      <c r="L12" s="3"/>
      <c r="M12" s="3"/>
      <c r="N12" s="3"/>
      <c r="O12" s="3"/>
      <c r="P12" s="3">
        <f t="shared" ref="P12:P13" si="11">E12/15*10*25%/184*92</f>
        <v>1187.5</v>
      </c>
      <c r="Q12" s="3">
        <f t="shared" ref="Q12:Q13" si="12">E12+-N12+P12</f>
        <v>15437.5</v>
      </c>
      <c r="R12" s="3">
        <v>0.0</v>
      </c>
      <c r="S12" s="3"/>
      <c r="T12" s="3">
        <v>2632.16</v>
      </c>
      <c r="U12" s="3"/>
      <c r="V12" s="3">
        <v>0.19</v>
      </c>
      <c r="W12" s="29">
        <f t="shared" ref="W12:W13" si="13">ROUND(E12*0.115,2)</f>
        <v>1638.75</v>
      </c>
      <c r="X12" s="3">
        <f t="shared" ref="X12:X13" si="14">SUM(T12:W12)+G12</f>
        <v>4271.1</v>
      </c>
      <c r="Y12" s="30">
        <f t="shared" ref="Y12:Y13" si="15">Q12-X12</f>
        <v>11166.4</v>
      </c>
      <c r="Z12" s="31">
        <v>622.95</v>
      </c>
      <c r="AA12" s="3">
        <f t="shared" ref="AA12:AA13" si="16">ROUND(+E12*17.5%,2)+ROUND(E12*3%,2)</f>
        <v>2921.25</v>
      </c>
      <c r="AB12" s="32">
        <f t="shared" ref="AB12:AB13" si="17">ROUND(+E12*2%,2)</f>
        <v>285</v>
      </c>
      <c r="AC12" s="33">
        <f t="shared" ref="AC12:AC13" si="18">SUM(Z12:AB12)</f>
        <v>3829.2</v>
      </c>
    </row>
    <row r="13">
      <c r="A13" s="1"/>
      <c r="B13" s="1" t="s">
        <v>41</v>
      </c>
      <c r="C13" s="2" t="s">
        <v>42</v>
      </c>
      <c r="D13" s="1" t="s">
        <v>43</v>
      </c>
      <c r="E13" s="3">
        <v>12499.95</v>
      </c>
      <c r="F13" s="28">
        <v>15.0</v>
      </c>
      <c r="G13" s="3"/>
      <c r="H13" s="3"/>
      <c r="I13" s="3"/>
      <c r="J13" s="3"/>
      <c r="K13" s="3"/>
      <c r="L13" s="3"/>
      <c r="M13" s="3"/>
      <c r="N13" s="34"/>
      <c r="O13" s="3"/>
      <c r="P13" s="3">
        <f t="shared" si="11"/>
        <v>1041.6625</v>
      </c>
      <c r="Q13" s="3">
        <f t="shared" si="12"/>
        <v>13541.6125</v>
      </c>
      <c r="R13" s="3">
        <v>0.0</v>
      </c>
      <c r="S13" s="3"/>
      <c r="T13" s="3">
        <v>2186.25</v>
      </c>
      <c r="U13" s="3"/>
      <c r="V13" s="3">
        <v>0.07</v>
      </c>
      <c r="W13" s="29">
        <f t="shared" si="13"/>
        <v>1437.49</v>
      </c>
      <c r="X13" s="3">
        <f t="shared" si="14"/>
        <v>3623.81</v>
      </c>
      <c r="Y13" s="30">
        <f t="shared" si="15"/>
        <v>9917.8025</v>
      </c>
      <c r="Z13" s="31">
        <v>573.57</v>
      </c>
      <c r="AA13" s="3">
        <f t="shared" si="16"/>
        <v>2562.49</v>
      </c>
      <c r="AB13" s="32">
        <f t="shared" si="17"/>
        <v>250</v>
      </c>
      <c r="AC13" s="33">
        <f t="shared" si="18"/>
        <v>3386.06</v>
      </c>
    </row>
    <row r="14">
      <c r="A14" s="1"/>
      <c r="B14" s="1" t="s">
        <v>41</v>
      </c>
      <c r="C14" s="2" t="s">
        <v>44</v>
      </c>
      <c r="D14" s="1" t="s">
        <v>45</v>
      </c>
      <c r="E14" s="3"/>
      <c r="F14" s="28"/>
      <c r="G14" s="3"/>
      <c r="H14" s="3"/>
      <c r="I14" s="3"/>
      <c r="J14" s="3"/>
      <c r="K14" s="3"/>
      <c r="L14" s="3"/>
      <c r="M14" s="3"/>
      <c r="N14" s="34"/>
      <c r="O14" s="3"/>
      <c r="P14" s="3"/>
      <c r="Q14" s="3"/>
      <c r="R14" s="3"/>
      <c r="S14" s="3"/>
      <c r="T14" s="3"/>
      <c r="U14" s="3"/>
      <c r="V14" s="3"/>
      <c r="W14" s="3"/>
      <c r="X14" s="3"/>
      <c r="Y14" s="30"/>
      <c r="Z14" s="31"/>
      <c r="AA14" s="3"/>
      <c r="AB14" s="31"/>
      <c r="AC14" s="33"/>
    </row>
    <row r="15">
      <c r="A15" s="1"/>
      <c r="B15" s="1" t="s">
        <v>46</v>
      </c>
      <c r="C15" s="2" t="s">
        <v>47</v>
      </c>
      <c r="D15" s="1" t="s">
        <v>48</v>
      </c>
      <c r="E15" s="3">
        <v>9525.0</v>
      </c>
      <c r="F15" s="28">
        <v>15.0</v>
      </c>
      <c r="G15" s="40">
        <v>1000.0</v>
      </c>
      <c r="H15" s="3"/>
      <c r="I15" s="3"/>
      <c r="J15" s="3"/>
      <c r="K15" s="3"/>
      <c r="L15" s="3"/>
      <c r="M15" s="3"/>
      <c r="N15" s="34"/>
      <c r="O15" s="3"/>
      <c r="P15" s="3">
        <f>E15/15*10*25%/184*92</f>
        <v>793.75</v>
      </c>
      <c r="Q15" s="3">
        <f t="shared" ref="Q15:Q24" si="19">E15+-N15+P15</f>
        <v>10318.75</v>
      </c>
      <c r="R15" s="3">
        <v>0.0</v>
      </c>
      <c r="S15" s="3"/>
      <c r="T15" s="3">
        <v>1492.98</v>
      </c>
      <c r="U15" s="3"/>
      <c r="V15" s="3">
        <v>-0.01</v>
      </c>
      <c r="W15" s="29">
        <f>ROUND(E15*0.115,2)</f>
        <v>1095.38</v>
      </c>
      <c r="X15" s="3">
        <f t="shared" ref="X15:X24" si="20">SUM(T15:W15)+G15</f>
        <v>3588.35</v>
      </c>
      <c r="Y15" s="30">
        <f t="shared" ref="Y15:Y24" si="21">Q15-X15</f>
        <v>6730.4</v>
      </c>
      <c r="Z15" s="31">
        <v>489.63</v>
      </c>
      <c r="AA15" s="3">
        <f>ROUND(+E15*17.5%,2)+ROUND(E15*3%,2)</f>
        <v>1952.63</v>
      </c>
      <c r="AB15" s="32">
        <f>ROUND(+E15*2%,2)</f>
        <v>190.5</v>
      </c>
      <c r="AC15" s="33">
        <f t="shared" ref="AC15:AC24" si="22">SUM(Z15:AB15)</f>
        <v>2632.76</v>
      </c>
    </row>
    <row r="16">
      <c r="A16" s="1"/>
      <c r="B16" s="1" t="s">
        <v>49</v>
      </c>
      <c r="C16" s="2" t="s">
        <v>50</v>
      </c>
      <c r="D16" s="1" t="s">
        <v>51</v>
      </c>
      <c r="E16" s="3">
        <v>5467.23</v>
      </c>
      <c r="F16" s="28">
        <v>15.0</v>
      </c>
      <c r="G16" s="40">
        <v>2734.0</v>
      </c>
      <c r="H16" s="3"/>
      <c r="I16" s="3"/>
      <c r="J16" s="3"/>
      <c r="K16" s="3"/>
      <c r="L16" s="3"/>
      <c r="M16" s="3"/>
      <c r="N16" s="34"/>
      <c r="O16" s="3"/>
      <c r="P16" s="3">
        <f>E16/15*10*25%/184*175</f>
        <v>866.6351902</v>
      </c>
      <c r="Q16" s="3">
        <f t="shared" si="19"/>
        <v>6333.86519</v>
      </c>
      <c r="R16" s="3">
        <v>0.0</v>
      </c>
      <c r="S16" s="3"/>
      <c r="T16" s="3">
        <v>573.45</v>
      </c>
      <c r="U16" s="3">
        <v>-230.94</v>
      </c>
      <c r="V16" s="3">
        <v>0.03</v>
      </c>
      <c r="W16" s="29">
        <v>628.73</v>
      </c>
      <c r="X16" s="3">
        <f t="shared" si="20"/>
        <v>3705.27</v>
      </c>
      <c r="Y16" s="41">
        <f t="shared" si="21"/>
        <v>2628.59519</v>
      </c>
      <c r="Z16" s="31">
        <v>375.14</v>
      </c>
      <c r="AA16" s="3">
        <v>1120.79</v>
      </c>
      <c r="AB16" s="32">
        <v>109.34</v>
      </c>
      <c r="AC16" s="42">
        <f t="shared" si="22"/>
        <v>1605.27</v>
      </c>
    </row>
    <row r="17">
      <c r="A17" s="1"/>
      <c r="B17" s="43" t="s">
        <v>52</v>
      </c>
      <c r="C17" s="2" t="s">
        <v>53</v>
      </c>
      <c r="D17" s="43" t="s">
        <v>54</v>
      </c>
      <c r="E17" s="3">
        <v>5467.23</v>
      </c>
      <c r="F17" s="28">
        <v>15.0</v>
      </c>
      <c r="G17" s="40">
        <v>703.24</v>
      </c>
      <c r="H17" s="3"/>
      <c r="I17" s="3"/>
      <c r="J17" s="3"/>
      <c r="K17" s="3"/>
      <c r="L17" s="3"/>
      <c r="M17" s="3"/>
      <c r="N17" s="34"/>
      <c r="O17" s="3"/>
      <c r="P17" s="3">
        <f>E17/15*10*25%</f>
        <v>911.205</v>
      </c>
      <c r="Q17" s="3">
        <f t="shared" si="19"/>
        <v>6378.435</v>
      </c>
      <c r="R17" s="3"/>
      <c r="S17" s="3"/>
      <c r="T17" s="3">
        <v>575.8</v>
      </c>
      <c r="U17" s="3">
        <v>-107.56</v>
      </c>
      <c r="V17" s="3">
        <v>0.03</v>
      </c>
      <c r="W17" s="29">
        <f t="shared" ref="W17:W24" si="23">ROUND(E17*0.115,2)</f>
        <v>628.73</v>
      </c>
      <c r="X17" s="3">
        <f t="shared" si="20"/>
        <v>1800.24</v>
      </c>
      <c r="Y17" s="41">
        <f t="shared" si="21"/>
        <v>4578.195</v>
      </c>
      <c r="Z17" s="31">
        <v>375.14</v>
      </c>
      <c r="AA17" s="3">
        <f t="shared" ref="AA17:AA24" si="24">ROUND(+E17*17.5%,2)+ROUND(E17*3%,2)</f>
        <v>1120.79</v>
      </c>
      <c r="AB17" s="32">
        <f t="shared" ref="AB17:AB24" si="25">ROUND(+E17*2%,2)</f>
        <v>109.34</v>
      </c>
      <c r="AC17" s="42">
        <f t="shared" si="22"/>
        <v>1605.27</v>
      </c>
    </row>
    <row r="18">
      <c r="A18" s="1"/>
      <c r="B18" s="1" t="s">
        <v>55</v>
      </c>
      <c r="C18" s="2" t="s">
        <v>56</v>
      </c>
      <c r="D18" s="1" t="s">
        <v>57</v>
      </c>
      <c r="E18" s="3">
        <v>4844.53</v>
      </c>
      <c r="F18" s="28">
        <v>15.0</v>
      </c>
      <c r="G18" s="40">
        <v>2031.0</v>
      </c>
      <c r="H18" s="3"/>
      <c r="I18" s="3"/>
      <c r="J18" s="3"/>
      <c r="K18" s="3"/>
      <c r="L18" s="3"/>
      <c r="M18" s="3"/>
      <c r="N18" s="34"/>
      <c r="O18" s="3"/>
      <c r="P18" s="3">
        <f>E18/15*10*25%/184*182</f>
        <v>798.6453442</v>
      </c>
      <c r="Q18" s="3">
        <f t="shared" si="19"/>
        <v>5643.175344</v>
      </c>
      <c r="R18" s="3"/>
      <c r="S18" s="3"/>
      <c r="T18" s="3">
        <v>438.9</v>
      </c>
      <c r="U18" s="3">
        <v>-159.11</v>
      </c>
      <c r="V18" s="3">
        <v>0.07</v>
      </c>
      <c r="W18" s="29">
        <f t="shared" si="23"/>
        <v>557.12</v>
      </c>
      <c r="X18" s="3">
        <f t="shared" si="20"/>
        <v>2867.98</v>
      </c>
      <c r="Y18" s="41">
        <f t="shared" si="21"/>
        <v>2775.195344</v>
      </c>
      <c r="Z18" s="31">
        <v>357.56</v>
      </c>
      <c r="AA18" s="3">
        <f t="shared" si="24"/>
        <v>993.13</v>
      </c>
      <c r="AB18" s="32">
        <f t="shared" si="25"/>
        <v>96.89</v>
      </c>
      <c r="AC18" s="42">
        <f t="shared" si="22"/>
        <v>1447.58</v>
      </c>
    </row>
    <row r="19">
      <c r="A19" s="1"/>
      <c r="B19" s="1" t="s">
        <v>58</v>
      </c>
      <c r="C19" s="2" t="s">
        <v>59</v>
      </c>
      <c r="D19" s="1" t="s">
        <v>60</v>
      </c>
      <c r="E19" s="3">
        <v>5467.23</v>
      </c>
      <c r="F19" s="28">
        <v>15.0</v>
      </c>
      <c r="G19" s="40">
        <v>2655.36</v>
      </c>
      <c r="H19" s="34"/>
      <c r="I19" s="34"/>
      <c r="J19" s="34"/>
      <c r="K19" s="34"/>
      <c r="L19" s="34"/>
      <c r="M19" s="34"/>
      <c r="N19" s="34"/>
      <c r="O19" s="3"/>
      <c r="P19" s="3">
        <f t="shared" ref="P19:P20" si="26">E19/15*10*25%</f>
        <v>911.205</v>
      </c>
      <c r="Q19" s="3">
        <f t="shared" si="19"/>
        <v>6378.435</v>
      </c>
      <c r="R19" s="3"/>
      <c r="S19" s="3"/>
      <c r="T19" s="3">
        <v>581.43</v>
      </c>
      <c r="U19" s="3">
        <v>-74.05</v>
      </c>
      <c r="V19" s="3">
        <v>0.17</v>
      </c>
      <c r="W19" s="29">
        <f t="shared" si="23"/>
        <v>628.73</v>
      </c>
      <c r="X19" s="3">
        <f t="shared" si="20"/>
        <v>3791.64</v>
      </c>
      <c r="Y19" s="41">
        <f t="shared" si="21"/>
        <v>2586.795</v>
      </c>
      <c r="Z19" s="31">
        <v>375.14</v>
      </c>
      <c r="AA19" s="3">
        <f t="shared" si="24"/>
        <v>1120.79</v>
      </c>
      <c r="AB19" s="32">
        <f t="shared" si="25"/>
        <v>109.34</v>
      </c>
      <c r="AC19" s="42">
        <f t="shared" si="22"/>
        <v>1605.27</v>
      </c>
    </row>
    <row r="20">
      <c r="A20" s="1"/>
      <c r="B20" s="43" t="s">
        <v>61</v>
      </c>
      <c r="C20" s="2" t="s">
        <v>62</v>
      </c>
      <c r="D20" s="43" t="s">
        <v>57</v>
      </c>
      <c r="E20" s="3">
        <v>4844.53</v>
      </c>
      <c r="F20" s="28">
        <v>15.0</v>
      </c>
      <c r="G20" s="40">
        <v>2153.0</v>
      </c>
      <c r="H20" s="3"/>
      <c r="I20" s="3"/>
      <c r="J20" s="3"/>
      <c r="K20" s="3"/>
      <c r="L20" s="3"/>
      <c r="M20" s="3"/>
      <c r="N20" s="34"/>
      <c r="O20" s="3"/>
      <c r="P20" s="3">
        <f t="shared" si="26"/>
        <v>807.4216667</v>
      </c>
      <c r="Q20" s="3">
        <f t="shared" si="19"/>
        <v>5651.951667</v>
      </c>
      <c r="R20" s="3"/>
      <c r="S20" s="3"/>
      <c r="T20" s="3">
        <v>440.31</v>
      </c>
      <c r="U20" s="3">
        <v>-129.71</v>
      </c>
      <c r="V20" s="3">
        <v>0.23</v>
      </c>
      <c r="W20" s="29">
        <f t="shared" si="23"/>
        <v>557.12</v>
      </c>
      <c r="X20" s="3">
        <f t="shared" si="20"/>
        <v>3020.95</v>
      </c>
      <c r="Y20" s="41">
        <f t="shared" si="21"/>
        <v>2631.001667</v>
      </c>
      <c r="Z20" s="31">
        <v>357.56</v>
      </c>
      <c r="AA20" s="3">
        <f t="shared" si="24"/>
        <v>993.13</v>
      </c>
      <c r="AB20" s="32">
        <f t="shared" si="25"/>
        <v>96.89</v>
      </c>
      <c r="AC20" s="42">
        <f t="shared" si="22"/>
        <v>1447.58</v>
      </c>
    </row>
    <row r="21" ht="15.75" customHeight="1">
      <c r="A21" s="1"/>
      <c r="B21" s="1" t="s">
        <v>63</v>
      </c>
      <c r="C21" s="2" t="s">
        <v>64</v>
      </c>
      <c r="D21" s="1" t="s">
        <v>65</v>
      </c>
      <c r="E21" s="3">
        <v>5278.8</v>
      </c>
      <c r="F21" s="28">
        <v>15.0</v>
      </c>
      <c r="G21" s="3"/>
      <c r="H21" s="34"/>
      <c r="I21" s="34"/>
      <c r="J21" s="34"/>
      <c r="K21" s="34"/>
      <c r="L21" s="34"/>
      <c r="M21" s="34"/>
      <c r="N21" s="34"/>
      <c r="O21" s="3"/>
      <c r="P21" s="3">
        <f>E21/15*10*25%/184*92</f>
        <v>439.9</v>
      </c>
      <c r="Q21" s="3">
        <f t="shared" si="19"/>
        <v>5718.7</v>
      </c>
      <c r="R21" s="3"/>
      <c r="S21" s="3"/>
      <c r="T21" s="3">
        <v>466.53</v>
      </c>
      <c r="U21" s="3"/>
      <c r="V21" s="3">
        <v>0.11</v>
      </c>
      <c r="W21" s="29">
        <f t="shared" si="23"/>
        <v>607.06</v>
      </c>
      <c r="X21" s="3">
        <f t="shared" si="20"/>
        <v>1073.7</v>
      </c>
      <c r="Y21" s="30">
        <f t="shared" si="21"/>
        <v>4645</v>
      </c>
      <c r="Z21" s="31">
        <v>369.82</v>
      </c>
      <c r="AA21" s="3">
        <f t="shared" si="24"/>
        <v>1082.15</v>
      </c>
      <c r="AB21" s="32">
        <f t="shared" si="25"/>
        <v>105.58</v>
      </c>
      <c r="AC21" s="33">
        <f t="shared" si="22"/>
        <v>1557.55</v>
      </c>
    </row>
    <row r="22" ht="15.75" customHeight="1">
      <c r="A22" s="1"/>
      <c r="B22" s="1" t="s">
        <v>66</v>
      </c>
      <c r="C22" s="2" t="s">
        <v>67</v>
      </c>
      <c r="D22" s="43" t="s">
        <v>68</v>
      </c>
      <c r="E22" s="3">
        <v>5250.0</v>
      </c>
      <c r="F22" s="28">
        <v>15.0</v>
      </c>
      <c r="G22" s="3"/>
      <c r="H22" s="3"/>
      <c r="I22" s="3"/>
      <c r="J22" s="3"/>
      <c r="K22" s="3"/>
      <c r="L22" s="3"/>
      <c r="M22" s="3"/>
      <c r="N22" s="34"/>
      <c r="O22" s="3"/>
      <c r="P22" s="3">
        <f t="shared" ref="P22:P23" si="27">E22/15*10*25%/184*61</f>
        <v>290.0815217</v>
      </c>
      <c r="Q22" s="3">
        <f t="shared" si="19"/>
        <v>5540.081522</v>
      </c>
      <c r="R22" s="3"/>
      <c r="S22" s="3"/>
      <c r="T22" s="3">
        <v>461.92</v>
      </c>
      <c r="U22" s="3"/>
      <c r="V22" s="3">
        <v>0.01</v>
      </c>
      <c r="W22" s="29">
        <f t="shared" si="23"/>
        <v>603.75</v>
      </c>
      <c r="X22" s="3">
        <f t="shared" si="20"/>
        <v>1065.68</v>
      </c>
      <c r="Y22" s="41">
        <f t="shared" si="21"/>
        <v>4474.401522</v>
      </c>
      <c r="Z22" s="31">
        <v>369.01</v>
      </c>
      <c r="AA22" s="3">
        <f t="shared" si="24"/>
        <v>1076.25</v>
      </c>
      <c r="AB22" s="32">
        <f t="shared" si="25"/>
        <v>105</v>
      </c>
      <c r="AC22" s="42">
        <f t="shared" si="22"/>
        <v>1550.26</v>
      </c>
    </row>
    <row r="23" ht="15.75" customHeight="1">
      <c r="A23" s="1"/>
      <c r="B23" s="1" t="s">
        <v>69</v>
      </c>
      <c r="C23" s="2" t="s">
        <v>70</v>
      </c>
      <c r="D23" s="43" t="s">
        <v>68</v>
      </c>
      <c r="E23" s="3">
        <v>6705.0</v>
      </c>
      <c r="F23" s="28">
        <v>15.0</v>
      </c>
      <c r="G23" s="3"/>
      <c r="H23" s="3"/>
      <c r="I23" s="3"/>
      <c r="J23" s="3"/>
      <c r="K23" s="3"/>
      <c r="L23" s="3"/>
      <c r="M23" s="3"/>
      <c r="N23" s="34"/>
      <c r="O23" s="3"/>
      <c r="P23" s="3">
        <f t="shared" si="27"/>
        <v>370.4755435</v>
      </c>
      <c r="Q23" s="3">
        <f t="shared" si="19"/>
        <v>7075.475543</v>
      </c>
      <c r="R23" s="3"/>
      <c r="S23" s="3"/>
      <c r="T23" s="3">
        <v>791.89</v>
      </c>
      <c r="U23" s="3"/>
      <c r="V23" s="3">
        <v>0.11</v>
      </c>
      <c r="W23" s="29">
        <f t="shared" si="23"/>
        <v>771.08</v>
      </c>
      <c r="X23" s="3">
        <f t="shared" si="20"/>
        <v>1563.08</v>
      </c>
      <c r="Y23" s="41">
        <f t="shared" si="21"/>
        <v>5512.395543</v>
      </c>
      <c r="Z23" s="31">
        <v>410.07</v>
      </c>
      <c r="AA23" s="3">
        <f t="shared" si="24"/>
        <v>1374.53</v>
      </c>
      <c r="AB23" s="32">
        <f t="shared" si="25"/>
        <v>134.1</v>
      </c>
      <c r="AC23" s="42">
        <f t="shared" si="22"/>
        <v>1918.7</v>
      </c>
    </row>
    <row r="24" ht="15.75" customHeight="1">
      <c r="A24" s="1"/>
      <c r="B24" s="1" t="s">
        <v>71</v>
      </c>
      <c r="C24" s="2" t="s">
        <v>72</v>
      </c>
      <c r="D24" s="1" t="s">
        <v>73</v>
      </c>
      <c r="E24" s="3">
        <v>7989.28</v>
      </c>
      <c r="F24" s="28">
        <v>15.0</v>
      </c>
      <c r="G24" s="3"/>
      <c r="H24" s="3"/>
      <c r="I24" s="3"/>
      <c r="J24" s="3"/>
      <c r="K24" s="3"/>
      <c r="L24" s="3"/>
      <c r="M24" s="3"/>
      <c r="N24" s="34"/>
      <c r="O24" s="3"/>
      <c r="P24" s="3">
        <f>E24/15*10*25%/184*39</f>
        <v>282.23</v>
      </c>
      <c r="Q24" s="3">
        <f t="shared" si="19"/>
        <v>8271.51</v>
      </c>
      <c r="R24" s="3">
        <v>0.0</v>
      </c>
      <c r="S24" s="3"/>
      <c r="T24" s="3">
        <v>995.41</v>
      </c>
      <c r="U24" s="3"/>
      <c r="V24" s="3">
        <v>-0.07</v>
      </c>
      <c r="W24" s="29">
        <f t="shared" si="23"/>
        <v>918.77</v>
      </c>
      <c r="X24" s="3">
        <f t="shared" si="20"/>
        <v>1914.11</v>
      </c>
      <c r="Y24" s="41">
        <f t="shared" si="21"/>
        <v>6357.4</v>
      </c>
      <c r="Z24" s="31">
        <v>446.3</v>
      </c>
      <c r="AA24" s="3">
        <f t="shared" si="24"/>
        <v>1637.8</v>
      </c>
      <c r="AB24" s="32">
        <f t="shared" si="25"/>
        <v>159.79</v>
      </c>
      <c r="AC24" s="42">
        <f t="shared" si="22"/>
        <v>2243.89</v>
      </c>
    </row>
    <row r="25" ht="15.75" customHeight="1">
      <c r="A25" s="1"/>
      <c r="B25" s="24" t="s">
        <v>35</v>
      </c>
      <c r="C25" s="36"/>
      <c r="D25" s="37"/>
      <c r="E25" s="38">
        <f>SUM(E12:E24)</f>
        <v>87588.78</v>
      </c>
      <c r="F25" s="38"/>
      <c r="G25" s="38">
        <f>SUM(G12:G24)</f>
        <v>11276.6</v>
      </c>
      <c r="H25" s="38" t="str">
        <f>+#REF!+H18+H16+H12+H14+H15+H19</f>
        <v>#REF!</v>
      </c>
      <c r="I25" s="38"/>
      <c r="J25" s="38"/>
      <c r="K25" s="38"/>
      <c r="L25" s="38"/>
      <c r="M25" s="38"/>
      <c r="N25" s="38">
        <f t="shared" ref="N25:O25" si="28">SUM(N12:N23)</f>
        <v>0</v>
      </c>
      <c r="O25" s="38">
        <f t="shared" si="28"/>
        <v>0</v>
      </c>
      <c r="P25" s="38">
        <f t="shared" ref="P25:AC25" si="29">SUM(P12:P24)</f>
        <v>8700.711766</v>
      </c>
      <c r="Q25" s="38">
        <f t="shared" si="29"/>
        <v>96289.49177</v>
      </c>
      <c r="R25" s="38">
        <f t="shared" si="29"/>
        <v>0</v>
      </c>
      <c r="S25" s="38">
        <f t="shared" si="29"/>
        <v>0</v>
      </c>
      <c r="T25" s="38">
        <f t="shared" si="29"/>
        <v>11637.03</v>
      </c>
      <c r="U25" s="38">
        <f t="shared" si="29"/>
        <v>-701.37</v>
      </c>
      <c r="V25" s="38">
        <f t="shared" si="29"/>
        <v>0.94</v>
      </c>
      <c r="W25" s="38">
        <f t="shared" si="29"/>
        <v>10072.71</v>
      </c>
      <c r="X25" s="38">
        <f t="shared" si="29"/>
        <v>32285.91</v>
      </c>
      <c r="Y25" s="38">
        <f t="shared" si="29"/>
        <v>64003.58177</v>
      </c>
      <c r="Z25" s="38">
        <f t="shared" si="29"/>
        <v>5121.89</v>
      </c>
      <c r="AA25" s="38">
        <f t="shared" si="29"/>
        <v>17955.73</v>
      </c>
      <c r="AB25" s="38">
        <f t="shared" si="29"/>
        <v>1751.77</v>
      </c>
      <c r="AC25" s="38">
        <f t="shared" si="29"/>
        <v>24829.39</v>
      </c>
    </row>
    <row r="26" ht="15.75" customHeight="1">
      <c r="A26" s="1"/>
      <c r="B26" s="24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9"/>
      <c r="Z26" s="1"/>
      <c r="AA26" s="1"/>
      <c r="AB26" s="1"/>
      <c r="AC26" s="1"/>
    </row>
    <row r="27" ht="15.75" customHeight="1">
      <c r="A27" s="1"/>
      <c r="B27" s="24" t="s">
        <v>74</v>
      </c>
      <c r="C27" s="36" t="s">
        <v>75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9"/>
      <c r="Z27" s="1"/>
      <c r="AA27" s="1"/>
      <c r="AB27" s="1"/>
      <c r="AC27" s="1"/>
    </row>
    <row r="28" ht="15.75" customHeight="1">
      <c r="A28" s="1"/>
      <c r="B28" s="1" t="s">
        <v>76</v>
      </c>
      <c r="C28" s="2" t="s">
        <v>77</v>
      </c>
      <c r="D28" s="43" t="s">
        <v>78</v>
      </c>
      <c r="E28" s="3">
        <v>7782.06</v>
      </c>
      <c r="F28" s="28">
        <v>15.0</v>
      </c>
      <c r="G28" s="3"/>
      <c r="H28" s="3"/>
      <c r="I28" s="3"/>
      <c r="J28" s="3"/>
      <c r="K28" s="3"/>
      <c r="L28" s="3"/>
      <c r="M28" s="3"/>
      <c r="N28" s="34"/>
      <c r="O28" s="3"/>
      <c r="P28" s="3">
        <f>E28/15*10*25%</f>
        <v>1297.01</v>
      </c>
      <c r="Q28" s="3">
        <f t="shared" ref="Q28:Q31" si="30">E28+-N28+P28</f>
        <v>9079.07</v>
      </c>
      <c r="R28" s="3">
        <v>0.0</v>
      </c>
      <c r="S28" s="3"/>
      <c r="T28" s="3">
        <v>1218.07</v>
      </c>
      <c r="U28" s="3">
        <v>-227.42</v>
      </c>
      <c r="V28" s="3">
        <v>0.08</v>
      </c>
      <c r="W28" s="29">
        <f t="shared" ref="W28:W31" si="31">ROUND(E28*0.115,2)</f>
        <v>894.94</v>
      </c>
      <c r="X28" s="3">
        <f t="shared" ref="X28:X31" si="32">SUM(T28:W28)+G28</f>
        <v>1885.67</v>
      </c>
      <c r="Y28" s="41">
        <f t="shared" ref="Y28:Y31" si="33">Q28-X28</f>
        <v>7193.4</v>
      </c>
      <c r="Z28" s="31">
        <v>440.45</v>
      </c>
      <c r="AA28" s="3">
        <f t="shared" ref="AA28:AA31" si="34">ROUND(+E28*17.5%,2)+ROUND(E28*3%,2)</f>
        <v>1595.32</v>
      </c>
      <c r="AB28" s="32">
        <f t="shared" ref="AB28:AB31" si="35">ROUND(+E28*2%,2)</f>
        <v>155.64</v>
      </c>
      <c r="AC28" s="42">
        <f t="shared" ref="AC28:AC31" si="36">SUM(Z28:AB28)</f>
        <v>2191.41</v>
      </c>
    </row>
    <row r="29" ht="15.75" customHeight="1">
      <c r="A29" s="1"/>
      <c r="B29" s="1" t="s">
        <v>79</v>
      </c>
      <c r="C29" s="2" t="s">
        <v>80</v>
      </c>
      <c r="D29" s="43" t="s">
        <v>81</v>
      </c>
      <c r="E29" s="3">
        <v>7782.06</v>
      </c>
      <c r="F29" s="28">
        <v>15.0</v>
      </c>
      <c r="G29" s="3"/>
      <c r="H29" s="3"/>
      <c r="I29" s="3"/>
      <c r="J29" s="3"/>
      <c r="K29" s="3"/>
      <c r="L29" s="3"/>
      <c r="M29" s="3"/>
      <c r="N29" s="34"/>
      <c r="O29" s="3"/>
      <c r="P29" s="3">
        <f>E29/15*10*25%/184*183</f>
        <v>1289.961033</v>
      </c>
      <c r="Q29" s="3">
        <f t="shared" si="30"/>
        <v>9072.021033</v>
      </c>
      <c r="R29" s="3">
        <v>0.0</v>
      </c>
      <c r="S29" s="3"/>
      <c r="T29" s="3">
        <v>1216.57</v>
      </c>
      <c r="U29" s="3">
        <v>-227.43</v>
      </c>
      <c r="V29" s="3">
        <v>0.14</v>
      </c>
      <c r="W29" s="29">
        <f t="shared" si="31"/>
        <v>894.94</v>
      </c>
      <c r="X29" s="3">
        <f t="shared" si="32"/>
        <v>1884.22</v>
      </c>
      <c r="Y29" s="41">
        <f t="shared" si="33"/>
        <v>7187.801033</v>
      </c>
      <c r="Z29" s="31">
        <v>440.45</v>
      </c>
      <c r="AA29" s="3">
        <f t="shared" si="34"/>
        <v>1595.32</v>
      </c>
      <c r="AB29" s="32">
        <f t="shared" si="35"/>
        <v>155.64</v>
      </c>
      <c r="AC29" s="42">
        <f t="shared" si="36"/>
        <v>2191.41</v>
      </c>
    </row>
    <row r="30" ht="15.75" customHeight="1">
      <c r="A30" s="1"/>
      <c r="B30" s="1" t="s">
        <v>82</v>
      </c>
      <c r="C30" s="2" t="s">
        <v>83</v>
      </c>
      <c r="D30" s="1" t="s">
        <v>84</v>
      </c>
      <c r="E30" s="3">
        <v>7782.06</v>
      </c>
      <c r="F30" s="28">
        <v>15.0</v>
      </c>
      <c r="G30" s="40">
        <v>3336.0</v>
      </c>
      <c r="H30" s="3"/>
      <c r="I30" s="3"/>
      <c r="J30" s="3"/>
      <c r="K30" s="3"/>
      <c r="L30" s="3"/>
      <c r="M30" s="3"/>
      <c r="N30" s="34"/>
      <c r="O30" s="3"/>
      <c r="P30" s="3">
        <f>E30/15*10*25%</f>
        <v>1297.01</v>
      </c>
      <c r="Q30" s="3">
        <f t="shared" si="30"/>
        <v>9079.07</v>
      </c>
      <c r="R30" s="3">
        <v>0.0</v>
      </c>
      <c r="S30" s="3"/>
      <c r="T30" s="3">
        <v>1218.07</v>
      </c>
      <c r="U30" s="3">
        <v>-227.42</v>
      </c>
      <c r="V30" s="3">
        <v>-0.12</v>
      </c>
      <c r="W30" s="29">
        <f t="shared" si="31"/>
        <v>894.94</v>
      </c>
      <c r="X30" s="3">
        <f t="shared" si="32"/>
        <v>5221.47</v>
      </c>
      <c r="Y30" s="41">
        <f t="shared" si="33"/>
        <v>3857.6</v>
      </c>
      <c r="Z30" s="31">
        <v>440.45</v>
      </c>
      <c r="AA30" s="3">
        <f t="shared" si="34"/>
        <v>1595.32</v>
      </c>
      <c r="AB30" s="32">
        <f t="shared" si="35"/>
        <v>155.64</v>
      </c>
      <c r="AC30" s="42">
        <f t="shared" si="36"/>
        <v>2191.41</v>
      </c>
    </row>
    <row r="31" ht="15.75" customHeight="1">
      <c r="A31" s="1"/>
      <c r="B31" s="1" t="s">
        <v>85</v>
      </c>
      <c r="C31" s="2" t="s">
        <v>86</v>
      </c>
      <c r="D31" s="43" t="s">
        <v>81</v>
      </c>
      <c r="E31" s="3">
        <v>7782.06</v>
      </c>
      <c r="F31" s="28">
        <v>15.0</v>
      </c>
      <c r="G31" s="40">
        <v>1191.0</v>
      </c>
      <c r="H31" s="34"/>
      <c r="I31" s="34"/>
      <c r="J31" s="34"/>
      <c r="K31" s="34"/>
      <c r="L31" s="34"/>
      <c r="M31" s="34"/>
      <c r="N31" s="34"/>
      <c r="O31" s="3"/>
      <c r="P31" s="3">
        <f>E31/15*10*25%/184*183</f>
        <v>1289.961033</v>
      </c>
      <c r="Q31" s="3">
        <f t="shared" si="30"/>
        <v>9072.021033</v>
      </c>
      <c r="R31" s="3"/>
      <c r="S31" s="3"/>
      <c r="T31" s="3">
        <v>1216.57</v>
      </c>
      <c r="U31" s="3">
        <v>-227.43</v>
      </c>
      <c r="V31" s="3">
        <v>-0.06</v>
      </c>
      <c r="W31" s="29">
        <f t="shared" si="31"/>
        <v>894.94</v>
      </c>
      <c r="X31" s="3">
        <f t="shared" si="32"/>
        <v>3075.02</v>
      </c>
      <c r="Y31" s="41">
        <f t="shared" si="33"/>
        <v>5997.001033</v>
      </c>
      <c r="Z31" s="31">
        <v>440.45</v>
      </c>
      <c r="AA31" s="3">
        <f t="shared" si="34"/>
        <v>1595.32</v>
      </c>
      <c r="AB31" s="32">
        <f t="shared" si="35"/>
        <v>155.64</v>
      </c>
      <c r="AC31" s="42">
        <f t="shared" si="36"/>
        <v>2191.41</v>
      </c>
    </row>
    <row r="32" ht="15.75" customHeight="1">
      <c r="A32" s="1"/>
      <c r="B32" s="24" t="s">
        <v>35</v>
      </c>
      <c r="C32" s="36"/>
      <c r="D32" s="37"/>
      <c r="E32" s="38">
        <f>SUM(E28:E31)</f>
        <v>31128.24</v>
      </c>
      <c r="F32" s="38"/>
      <c r="G32" s="38">
        <f>+G31+G30+G28+G29</f>
        <v>4527</v>
      </c>
      <c r="H32" s="38"/>
      <c r="I32" s="38"/>
      <c r="J32" s="38"/>
      <c r="K32" s="38"/>
      <c r="L32" s="38"/>
      <c r="M32" s="38"/>
      <c r="N32" s="38">
        <f t="shared" ref="N32:Q32" si="37">SUM(N28:N31)</f>
        <v>0</v>
      </c>
      <c r="O32" s="38">
        <f t="shared" si="37"/>
        <v>0</v>
      </c>
      <c r="P32" s="38">
        <f t="shared" si="37"/>
        <v>5173.942065</v>
      </c>
      <c r="Q32" s="38">
        <f t="shared" si="37"/>
        <v>36302.18207</v>
      </c>
      <c r="R32" s="38">
        <f t="shared" ref="R32:S32" si="38">SUM(R28:R30)</f>
        <v>0</v>
      </c>
      <c r="S32" s="38">
        <f t="shared" si="38"/>
        <v>0</v>
      </c>
      <c r="T32" s="38">
        <f t="shared" ref="T32:AC32" si="39">SUM(T28:T31)</f>
        <v>4869.28</v>
      </c>
      <c r="U32" s="38">
        <f t="shared" si="39"/>
        <v>-909.7</v>
      </c>
      <c r="V32" s="38">
        <f t="shared" si="39"/>
        <v>0.04</v>
      </c>
      <c r="W32" s="38">
        <f t="shared" si="39"/>
        <v>3579.76</v>
      </c>
      <c r="X32" s="38">
        <f t="shared" si="39"/>
        <v>12066.38</v>
      </c>
      <c r="Y32" s="38">
        <f t="shared" si="39"/>
        <v>24235.80207</v>
      </c>
      <c r="Z32" s="38">
        <f t="shared" si="39"/>
        <v>1761.8</v>
      </c>
      <c r="AA32" s="38">
        <f t="shared" si="39"/>
        <v>6381.28</v>
      </c>
      <c r="AB32" s="38">
        <f t="shared" si="39"/>
        <v>622.56</v>
      </c>
      <c r="AC32" s="38">
        <f t="shared" si="39"/>
        <v>8765.64</v>
      </c>
    </row>
    <row r="33" ht="15.75" customHeight="1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9"/>
      <c r="Z33" s="1"/>
      <c r="AA33" s="1"/>
      <c r="AB33" s="1"/>
      <c r="AC33" s="1"/>
    </row>
    <row r="34" ht="15.75" customHeight="1">
      <c r="A34" s="1"/>
      <c r="B34" s="24" t="s">
        <v>87</v>
      </c>
      <c r="C34" s="36" t="s">
        <v>88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9"/>
      <c r="Z34" s="1"/>
      <c r="AA34" s="1"/>
      <c r="AB34" s="1"/>
      <c r="AC34" s="1"/>
    </row>
    <row r="35" ht="15.75" customHeight="1">
      <c r="A35" s="1"/>
      <c r="B35" s="1" t="s">
        <v>89</v>
      </c>
      <c r="C35" s="2"/>
      <c r="D35" s="43" t="s">
        <v>90</v>
      </c>
      <c r="E35" s="3"/>
      <c r="F35" s="28"/>
      <c r="G35" s="3"/>
      <c r="H35" s="3"/>
      <c r="I35" s="3"/>
      <c r="J35" s="3"/>
      <c r="K35" s="3"/>
      <c r="L35" s="3"/>
      <c r="M35" s="3"/>
      <c r="N35" s="34"/>
      <c r="O35" s="3"/>
      <c r="P35" s="3"/>
      <c r="Q35" s="3"/>
      <c r="R35" s="3"/>
      <c r="S35" s="3"/>
      <c r="T35" s="3"/>
      <c r="U35" s="3"/>
      <c r="V35" s="3"/>
      <c r="W35" s="44"/>
      <c r="X35" s="3"/>
      <c r="Y35" s="45"/>
      <c r="Z35" s="31"/>
      <c r="AA35" s="31"/>
      <c r="AB35" s="32"/>
      <c r="AC35" s="42"/>
    </row>
    <row r="36" ht="15.75" customHeight="1">
      <c r="A36" s="1"/>
      <c r="B36" s="43" t="s">
        <v>89</v>
      </c>
      <c r="C36" s="2" t="s">
        <v>91</v>
      </c>
      <c r="D36" s="43" t="s">
        <v>92</v>
      </c>
      <c r="E36" s="3">
        <v>7782.06</v>
      </c>
      <c r="F36" s="28">
        <v>15.0</v>
      </c>
      <c r="G36" s="3"/>
      <c r="H36" s="3"/>
      <c r="I36" s="3"/>
      <c r="J36" s="3"/>
      <c r="K36" s="3"/>
      <c r="L36" s="3"/>
      <c r="M36" s="3"/>
      <c r="N36" s="34"/>
      <c r="O36" s="3"/>
      <c r="P36" s="3">
        <f>E36/15*10*25%/184*183</f>
        <v>1289.961033</v>
      </c>
      <c r="Q36" s="3">
        <f t="shared" ref="Q36:Q52" si="40">E36+-N36+P36</f>
        <v>9072.021033</v>
      </c>
      <c r="R36" s="3"/>
      <c r="S36" s="3"/>
      <c r="T36" s="3">
        <v>1216.57</v>
      </c>
      <c r="U36" s="3">
        <v>-227.42</v>
      </c>
      <c r="V36" s="3">
        <v>-0.07</v>
      </c>
      <c r="W36" s="44">
        <f t="shared" ref="W36:W52" si="41">ROUND(E36*0.115,2)</f>
        <v>894.94</v>
      </c>
      <c r="X36" s="3">
        <f t="shared" ref="X36:X38" si="42">SUM(T36:W36)+G36</f>
        <v>1884.02</v>
      </c>
      <c r="Y36" s="41">
        <f t="shared" ref="Y36:Y52" si="43">Q36-X36</f>
        <v>7188.001033</v>
      </c>
      <c r="Z36" s="31">
        <v>440.45</v>
      </c>
      <c r="AA36" s="3">
        <f t="shared" ref="AA36:AA52" si="44">ROUND(+E36*17.5%,2)+ROUND(E36*3%,2)</f>
        <v>1595.32</v>
      </c>
      <c r="AB36" s="32">
        <f t="shared" ref="AB36:AB52" si="45">ROUND(+E36*2%,2)</f>
        <v>155.64</v>
      </c>
      <c r="AC36" s="42">
        <f t="shared" ref="AC36:AC52" si="46">SUM(Z36:AB36)</f>
        <v>2191.41</v>
      </c>
    </row>
    <row r="37" ht="15.75" customHeight="1">
      <c r="A37" s="1"/>
      <c r="B37" s="1" t="s">
        <v>93</v>
      </c>
      <c r="C37" s="2" t="s">
        <v>94</v>
      </c>
      <c r="D37" s="43" t="s">
        <v>92</v>
      </c>
      <c r="E37" s="3">
        <v>7782.06</v>
      </c>
      <c r="F37" s="28">
        <v>15.0</v>
      </c>
      <c r="G37" s="3"/>
      <c r="H37" s="3"/>
      <c r="I37" s="3"/>
      <c r="J37" s="3"/>
      <c r="K37" s="3"/>
      <c r="L37" s="3"/>
      <c r="M37" s="3"/>
      <c r="N37" s="34"/>
      <c r="O37" s="3"/>
      <c r="P37" s="3">
        <f>E37/15*10*25%</f>
        <v>1297.01</v>
      </c>
      <c r="Q37" s="3">
        <f t="shared" si="40"/>
        <v>9079.07</v>
      </c>
      <c r="R37" s="3"/>
      <c r="S37" s="3"/>
      <c r="T37" s="3">
        <v>1218.07</v>
      </c>
      <c r="U37" s="3">
        <v>-227.42</v>
      </c>
      <c r="V37" s="3">
        <v>0.08</v>
      </c>
      <c r="W37" s="44">
        <f t="shared" si="41"/>
        <v>894.94</v>
      </c>
      <c r="X37" s="3">
        <f t="shared" si="42"/>
        <v>1885.67</v>
      </c>
      <c r="Y37" s="41">
        <f t="shared" si="43"/>
        <v>7193.4</v>
      </c>
      <c r="Z37" s="31">
        <v>440.45</v>
      </c>
      <c r="AA37" s="3">
        <f t="shared" si="44"/>
        <v>1595.32</v>
      </c>
      <c r="AB37" s="32">
        <f t="shared" si="45"/>
        <v>155.64</v>
      </c>
      <c r="AC37" s="42">
        <f t="shared" si="46"/>
        <v>2191.41</v>
      </c>
    </row>
    <row r="38" ht="15.75" customHeight="1">
      <c r="A38" s="1"/>
      <c r="B38" s="1" t="s">
        <v>95</v>
      </c>
      <c r="C38" s="2" t="s">
        <v>96</v>
      </c>
      <c r="D38" s="1" t="s">
        <v>97</v>
      </c>
      <c r="E38" s="3">
        <v>7989.28</v>
      </c>
      <c r="F38" s="28">
        <v>15.0</v>
      </c>
      <c r="G38" s="3"/>
      <c r="H38" s="3"/>
      <c r="I38" s="3"/>
      <c r="J38" s="3"/>
      <c r="K38" s="3"/>
      <c r="L38" s="3"/>
      <c r="M38" s="3"/>
      <c r="N38" s="34">
        <v>1.27</v>
      </c>
      <c r="O38" s="3"/>
      <c r="P38" s="3">
        <f>E38/15*10*25%/184*61</f>
        <v>441.4366667</v>
      </c>
      <c r="Q38" s="3">
        <f t="shared" si="40"/>
        <v>8429.446667</v>
      </c>
      <c r="R38" s="3">
        <v>0.0</v>
      </c>
      <c r="S38" s="3"/>
      <c r="T38" s="3">
        <v>995.41</v>
      </c>
      <c r="U38" s="3"/>
      <c r="V38" s="3">
        <v>0.07</v>
      </c>
      <c r="W38" s="44">
        <f t="shared" si="41"/>
        <v>918.77</v>
      </c>
      <c r="X38" s="3">
        <f t="shared" si="42"/>
        <v>1914.25</v>
      </c>
      <c r="Y38" s="41">
        <f t="shared" si="43"/>
        <v>6515.196667</v>
      </c>
      <c r="Z38" s="31">
        <v>446.3</v>
      </c>
      <c r="AA38" s="3">
        <f t="shared" si="44"/>
        <v>1637.8</v>
      </c>
      <c r="AB38" s="32">
        <f t="shared" si="45"/>
        <v>159.79</v>
      </c>
      <c r="AC38" s="42">
        <f t="shared" si="46"/>
        <v>2243.89</v>
      </c>
    </row>
    <row r="39" ht="15.75" customHeight="1">
      <c r="A39" s="1"/>
      <c r="B39" s="1" t="s">
        <v>98</v>
      </c>
      <c r="C39" s="2" t="s">
        <v>99</v>
      </c>
      <c r="D39" s="1" t="s">
        <v>100</v>
      </c>
      <c r="E39" s="3">
        <v>7782.06</v>
      </c>
      <c r="F39" s="28">
        <v>15.0</v>
      </c>
      <c r="G39" s="3"/>
      <c r="H39" s="3"/>
      <c r="I39" s="40">
        <v>2994.04</v>
      </c>
      <c r="J39" s="3"/>
      <c r="K39" s="3"/>
      <c r="L39" s="3"/>
      <c r="M39" s="3"/>
      <c r="N39" s="34"/>
      <c r="O39" s="3"/>
      <c r="P39" s="3">
        <f t="shared" ref="P39:P40" si="47">E39/15*10*25%</f>
        <v>1297.01</v>
      </c>
      <c r="Q39" s="3">
        <f t="shared" si="40"/>
        <v>9079.07</v>
      </c>
      <c r="R39" s="3">
        <v>0.0</v>
      </c>
      <c r="S39" s="3"/>
      <c r="T39" s="3">
        <v>1218.07</v>
      </c>
      <c r="U39" s="3">
        <v>-227.42</v>
      </c>
      <c r="V39" s="3">
        <v>0.04</v>
      </c>
      <c r="W39" s="44">
        <f t="shared" si="41"/>
        <v>894.94</v>
      </c>
      <c r="X39" s="3">
        <f>SUM(T39:W39)+G39+I39</f>
        <v>4879.67</v>
      </c>
      <c r="Y39" s="41">
        <f t="shared" si="43"/>
        <v>4199.4</v>
      </c>
      <c r="Z39" s="31">
        <v>440.45</v>
      </c>
      <c r="AA39" s="3">
        <f t="shared" si="44"/>
        <v>1595.32</v>
      </c>
      <c r="AB39" s="32">
        <f t="shared" si="45"/>
        <v>155.64</v>
      </c>
      <c r="AC39" s="42">
        <f t="shared" si="46"/>
        <v>2191.41</v>
      </c>
    </row>
    <row r="40" ht="15.75" customHeight="1">
      <c r="A40" s="1"/>
      <c r="B40" s="1" t="s">
        <v>101</v>
      </c>
      <c r="C40" s="2" t="s">
        <v>102</v>
      </c>
      <c r="D40" s="1" t="s">
        <v>103</v>
      </c>
      <c r="E40" s="3">
        <v>7782.06</v>
      </c>
      <c r="F40" s="28">
        <v>15.0</v>
      </c>
      <c r="G40" s="40">
        <v>2143.0</v>
      </c>
      <c r="H40" s="3"/>
      <c r="I40" s="3"/>
      <c r="J40" s="3"/>
      <c r="K40" s="3"/>
      <c r="L40" s="3"/>
      <c r="M40" s="3"/>
      <c r="N40" s="34"/>
      <c r="O40" s="3"/>
      <c r="P40" s="3">
        <f t="shared" si="47"/>
        <v>1297.01</v>
      </c>
      <c r="Q40" s="3">
        <f t="shared" si="40"/>
        <v>9079.07</v>
      </c>
      <c r="R40" s="3">
        <v>0.0</v>
      </c>
      <c r="S40" s="3"/>
      <c r="T40" s="3">
        <v>1218.07</v>
      </c>
      <c r="U40" s="3">
        <v>-227.42</v>
      </c>
      <c r="V40" s="3">
        <v>0.08</v>
      </c>
      <c r="W40" s="44">
        <f t="shared" si="41"/>
        <v>894.94</v>
      </c>
      <c r="X40" s="3">
        <f t="shared" ref="X40:X42" si="48">SUM(T40:W40)+G40</f>
        <v>4028.67</v>
      </c>
      <c r="Y40" s="41">
        <f t="shared" si="43"/>
        <v>5050.4</v>
      </c>
      <c r="Z40" s="31">
        <v>440.45</v>
      </c>
      <c r="AA40" s="3">
        <f t="shared" si="44"/>
        <v>1595.32</v>
      </c>
      <c r="AB40" s="32">
        <f t="shared" si="45"/>
        <v>155.64</v>
      </c>
      <c r="AC40" s="42">
        <f t="shared" si="46"/>
        <v>2191.41</v>
      </c>
    </row>
    <row r="41" ht="15.75" customHeight="1">
      <c r="A41" s="1"/>
      <c r="B41" s="1" t="s">
        <v>104</v>
      </c>
      <c r="C41" s="2" t="s">
        <v>44</v>
      </c>
      <c r="D41" s="1" t="s">
        <v>103</v>
      </c>
      <c r="E41" s="3"/>
      <c r="F41" s="28"/>
      <c r="G41" s="46"/>
      <c r="H41" s="3"/>
      <c r="I41" s="3"/>
      <c r="J41" s="3"/>
      <c r="K41" s="3"/>
      <c r="L41" s="3"/>
      <c r="M41" s="3"/>
      <c r="N41" s="34"/>
      <c r="O41" s="3"/>
      <c r="P41" s="3"/>
      <c r="Q41" s="3">
        <f t="shared" si="40"/>
        <v>0</v>
      </c>
      <c r="R41" s="3">
        <v>0.0</v>
      </c>
      <c r="S41" s="3"/>
      <c r="T41" s="3"/>
      <c r="U41" s="3"/>
      <c r="V41" s="3"/>
      <c r="W41" s="44">
        <f t="shared" si="41"/>
        <v>0</v>
      </c>
      <c r="X41" s="3">
        <f t="shared" si="48"/>
        <v>0</v>
      </c>
      <c r="Y41" s="41">
        <f t="shared" si="43"/>
        <v>0</v>
      </c>
      <c r="Z41" s="31"/>
      <c r="AA41" s="3">
        <f t="shared" si="44"/>
        <v>0</v>
      </c>
      <c r="AB41" s="32">
        <f t="shared" si="45"/>
        <v>0</v>
      </c>
      <c r="AC41" s="42">
        <f t="shared" si="46"/>
        <v>0</v>
      </c>
    </row>
    <row r="42" ht="15.75" customHeight="1">
      <c r="A42" s="1"/>
      <c r="B42" s="1" t="s">
        <v>105</v>
      </c>
      <c r="C42" s="2" t="s">
        <v>44</v>
      </c>
      <c r="D42" s="1" t="s">
        <v>103</v>
      </c>
      <c r="E42" s="3"/>
      <c r="F42" s="28">
        <v>15.0</v>
      </c>
      <c r="G42" s="3"/>
      <c r="H42" s="3"/>
      <c r="I42" s="3"/>
      <c r="J42" s="3"/>
      <c r="K42" s="3"/>
      <c r="L42" s="3"/>
      <c r="M42" s="3"/>
      <c r="N42" s="34"/>
      <c r="O42" s="3"/>
      <c r="P42" s="3"/>
      <c r="Q42" s="3">
        <f t="shared" si="40"/>
        <v>0</v>
      </c>
      <c r="R42" s="3">
        <v>0.0</v>
      </c>
      <c r="S42" s="3"/>
      <c r="T42" s="3"/>
      <c r="U42" s="3"/>
      <c r="V42" s="3"/>
      <c r="W42" s="44">
        <f t="shared" si="41"/>
        <v>0</v>
      </c>
      <c r="X42" s="3">
        <f t="shared" si="48"/>
        <v>0</v>
      </c>
      <c r="Y42" s="41">
        <f t="shared" si="43"/>
        <v>0</v>
      </c>
      <c r="Z42" s="31">
        <v>0.0</v>
      </c>
      <c r="AA42" s="3">
        <f t="shared" si="44"/>
        <v>0</v>
      </c>
      <c r="AB42" s="32">
        <f t="shared" si="45"/>
        <v>0</v>
      </c>
      <c r="AC42" s="42">
        <f t="shared" si="46"/>
        <v>0</v>
      </c>
    </row>
    <row r="43" ht="15.75" customHeight="1">
      <c r="A43" s="1"/>
      <c r="B43" s="43" t="s">
        <v>106</v>
      </c>
      <c r="C43" s="2" t="s">
        <v>107</v>
      </c>
      <c r="D43" s="43" t="s">
        <v>108</v>
      </c>
      <c r="E43" s="3">
        <v>7782.06</v>
      </c>
      <c r="F43" s="28">
        <v>15.0</v>
      </c>
      <c r="G43" s="3"/>
      <c r="H43" s="3"/>
      <c r="I43" s="3"/>
      <c r="J43" s="40">
        <v>2257.03</v>
      </c>
      <c r="K43" s="40">
        <v>86.18</v>
      </c>
      <c r="L43" s="40">
        <v>1375.93</v>
      </c>
      <c r="M43" s="40">
        <v>37.35</v>
      </c>
      <c r="N43" s="34"/>
      <c r="O43" s="3"/>
      <c r="P43" s="3">
        <f t="shared" ref="P43:P44" si="49">E43/15*10*25%</f>
        <v>1297.01</v>
      </c>
      <c r="Q43" s="3">
        <f t="shared" si="40"/>
        <v>9079.07</v>
      </c>
      <c r="R43" s="3">
        <v>0.0</v>
      </c>
      <c r="S43" s="3"/>
      <c r="T43" s="3">
        <v>1218.07</v>
      </c>
      <c r="U43" s="3">
        <v>-227.42</v>
      </c>
      <c r="V43" s="3">
        <v>-0.01</v>
      </c>
      <c r="W43" s="44">
        <f t="shared" si="41"/>
        <v>894.94</v>
      </c>
      <c r="X43" s="3">
        <f>SUM(T43:W43)+G43+J43+K43+L43+M43</f>
        <v>5642.07</v>
      </c>
      <c r="Y43" s="41">
        <f t="shared" si="43"/>
        <v>3437</v>
      </c>
      <c r="Z43" s="31">
        <v>440.45</v>
      </c>
      <c r="AA43" s="3">
        <f t="shared" si="44"/>
        <v>1595.32</v>
      </c>
      <c r="AB43" s="32">
        <f t="shared" si="45"/>
        <v>155.64</v>
      </c>
      <c r="AC43" s="42">
        <f t="shared" si="46"/>
        <v>2191.41</v>
      </c>
    </row>
    <row r="44" ht="15.75" customHeight="1">
      <c r="A44" s="1"/>
      <c r="B44" s="1" t="s">
        <v>109</v>
      </c>
      <c r="C44" s="2" t="s">
        <v>110</v>
      </c>
      <c r="D44" s="1" t="s">
        <v>108</v>
      </c>
      <c r="E44" s="3">
        <v>7782.06</v>
      </c>
      <c r="F44" s="28">
        <v>15.0</v>
      </c>
      <c r="G44" s="40">
        <v>1183.75</v>
      </c>
      <c r="H44" s="3"/>
      <c r="I44" s="3"/>
      <c r="J44" s="40">
        <v>2344.37</v>
      </c>
      <c r="K44" s="40">
        <v>112.95</v>
      </c>
      <c r="L44" s="3"/>
      <c r="M44" s="3"/>
      <c r="N44" s="34"/>
      <c r="O44" s="3"/>
      <c r="P44" s="3">
        <f t="shared" si="49"/>
        <v>1297.01</v>
      </c>
      <c r="Q44" s="3">
        <f t="shared" si="40"/>
        <v>9079.07</v>
      </c>
      <c r="R44" s="3">
        <v>0.0</v>
      </c>
      <c r="S44" s="3"/>
      <c r="T44" s="3">
        <v>1218.07</v>
      </c>
      <c r="U44" s="3">
        <v>-227.42</v>
      </c>
      <c r="V44" s="3">
        <v>0.01</v>
      </c>
      <c r="W44" s="44">
        <f t="shared" si="41"/>
        <v>894.94</v>
      </c>
      <c r="X44" s="3">
        <f>SUM(T44:W44)+G44+J44+K44</f>
        <v>5526.67</v>
      </c>
      <c r="Y44" s="41">
        <f t="shared" si="43"/>
        <v>3552.4</v>
      </c>
      <c r="Z44" s="31">
        <v>440.45</v>
      </c>
      <c r="AA44" s="3">
        <f t="shared" si="44"/>
        <v>1595.32</v>
      </c>
      <c r="AB44" s="32">
        <f t="shared" si="45"/>
        <v>155.64</v>
      </c>
      <c r="AC44" s="42">
        <f t="shared" si="46"/>
        <v>2191.41</v>
      </c>
    </row>
    <row r="45" ht="15.75" customHeight="1">
      <c r="A45" s="1"/>
      <c r="B45" s="1" t="s">
        <v>111</v>
      </c>
      <c r="C45" s="2" t="s">
        <v>44</v>
      </c>
      <c r="D45" s="1" t="s">
        <v>112</v>
      </c>
      <c r="E45" s="3"/>
      <c r="F45" s="28">
        <v>15.0</v>
      </c>
      <c r="G45" s="3"/>
      <c r="H45" s="3"/>
      <c r="I45" s="3"/>
      <c r="J45" s="3"/>
      <c r="K45" s="3"/>
      <c r="L45" s="3"/>
      <c r="M45" s="3"/>
      <c r="N45" s="34"/>
      <c r="O45" s="3"/>
      <c r="P45" s="3"/>
      <c r="Q45" s="3">
        <f t="shared" si="40"/>
        <v>0</v>
      </c>
      <c r="R45" s="3">
        <v>0.0</v>
      </c>
      <c r="S45" s="3"/>
      <c r="T45" s="3"/>
      <c r="U45" s="3"/>
      <c r="V45" s="3"/>
      <c r="W45" s="44">
        <f t="shared" si="41"/>
        <v>0</v>
      </c>
      <c r="X45" s="3">
        <f t="shared" ref="X45:X49" si="50">SUM(T45:W45)+G45</f>
        <v>0</v>
      </c>
      <c r="Y45" s="41">
        <f t="shared" si="43"/>
        <v>0</v>
      </c>
      <c r="Z45" s="31">
        <v>0.0</v>
      </c>
      <c r="AA45" s="3">
        <f t="shared" si="44"/>
        <v>0</v>
      </c>
      <c r="AB45" s="32">
        <f t="shared" si="45"/>
        <v>0</v>
      </c>
      <c r="AC45" s="42">
        <f t="shared" si="46"/>
        <v>0</v>
      </c>
    </row>
    <row r="46" ht="15.75" customHeight="1">
      <c r="A46" s="1"/>
      <c r="B46" s="1" t="s">
        <v>113</v>
      </c>
      <c r="C46" s="2" t="s">
        <v>114</v>
      </c>
      <c r="D46" s="1" t="s">
        <v>112</v>
      </c>
      <c r="E46" s="3">
        <v>7782.06</v>
      </c>
      <c r="F46" s="28">
        <v>15.0</v>
      </c>
      <c r="G46" s="40">
        <v>1253.0</v>
      </c>
      <c r="H46" s="3"/>
      <c r="I46" s="3"/>
      <c r="J46" s="3"/>
      <c r="K46" s="3"/>
      <c r="L46" s="3"/>
      <c r="M46" s="3"/>
      <c r="N46" s="34"/>
      <c r="O46" s="3"/>
      <c r="P46" s="3">
        <f t="shared" ref="P46:P50" si="51">E46/15*10*25%</f>
        <v>1297.01</v>
      </c>
      <c r="Q46" s="3">
        <f t="shared" si="40"/>
        <v>9079.07</v>
      </c>
      <c r="R46" s="3">
        <v>0.0</v>
      </c>
      <c r="S46" s="3"/>
      <c r="T46" s="3">
        <v>1218.07</v>
      </c>
      <c r="U46" s="3">
        <v>-227.42</v>
      </c>
      <c r="V46" s="3">
        <v>0.08</v>
      </c>
      <c r="W46" s="44">
        <f t="shared" si="41"/>
        <v>894.94</v>
      </c>
      <c r="X46" s="3">
        <f t="shared" si="50"/>
        <v>3138.67</v>
      </c>
      <c r="Y46" s="41">
        <f t="shared" si="43"/>
        <v>5940.4</v>
      </c>
      <c r="Z46" s="31">
        <v>440.45</v>
      </c>
      <c r="AA46" s="3">
        <f t="shared" si="44"/>
        <v>1595.32</v>
      </c>
      <c r="AB46" s="32">
        <f t="shared" si="45"/>
        <v>155.64</v>
      </c>
      <c r="AC46" s="42">
        <f t="shared" si="46"/>
        <v>2191.41</v>
      </c>
    </row>
    <row r="47" ht="15.75" customHeight="1">
      <c r="A47" s="1"/>
      <c r="B47" s="43" t="s">
        <v>115</v>
      </c>
      <c r="C47" s="2" t="s">
        <v>116</v>
      </c>
      <c r="D47" s="43" t="s">
        <v>117</v>
      </c>
      <c r="E47" s="3">
        <v>7782.06</v>
      </c>
      <c r="F47" s="28">
        <v>15.0</v>
      </c>
      <c r="G47" s="40">
        <v>1587.0</v>
      </c>
      <c r="H47" s="3"/>
      <c r="I47" s="3"/>
      <c r="J47" s="3"/>
      <c r="K47" s="3"/>
      <c r="L47" s="3"/>
      <c r="M47" s="3"/>
      <c r="N47" s="34"/>
      <c r="O47" s="3"/>
      <c r="P47" s="3">
        <f t="shared" si="51"/>
        <v>1297.01</v>
      </c>
      <c r="Q47" s="3">
        <f t="shared" si="40"/>
        <v>9079.07</v>
      </c>
      <c r="R47" s="3">
        <v>0.0</v>
      </c>
      <c r="S47" s="3"/>
      <c r="T47" s="3">
        <v>1218.07</v>
      </c>
      <c r="U47" s="3">
        <v>-227.42</v>
      </c>
      <c r="V47" s="3">
        <v>0.08</v>
      </c>
      <c r="W47" s="44">
        <f t="shared" si="41"/>
        <v>894.94</v>
      </c>
      <c r="X47" s="3">
        <f t="shared" si="50"/>
        <v>3472.67</v>
      </c>
      <c r="Y47" s="41">
        <f t="shared" si="43"/>
        <v>5606.4</v>
      </c>
      <c r="Z47" s="31">
        <v>440.45</v>
      </c>
      <c r="AA47" s="3">
        <f t="shared" si="44"/>
        <v>1595.32</v>
      </c>
      <c r="AB47" s="32">
        <f t="shared" si="45"/>
        <v>155.64</v>
      </c>
      <c r="AC47" s="42">
        <f t="shared" si="46"/>
        <v>2191.41</v>
      </c>
    </row>
    <row r="48" ht="15.75" customHeight="1">
      <c r="A48" s="1"/>
      <c r="B48" s="43" t="s">
        <v>118</v>
      </c>
      <c r="C48" s="2" t="s">
        <v>119</v>
      </c>
      <c r="D48" s="43" t="s">
        <v>117</v>
      </c>
      <c r="E48" s="3">
        <v>7782.06</v>
      </c>
      <c r="F48" s="28">
        <v>15.0</v>
      </c>
      <c r="G48" s="40">
        <v>944.0</v>
      </c>
      <c r="H48" s="3"/>
      <c r="I48" s="3"/>
      <c r="J48" s="3"/>
      <c r="K48" s="3"/>
      <c r="L48" s="3"/>
      <c r="M48" s="3"/>
      <c r="N48" s="34"/>
      <c r="O48" s="3"/>
      <c r="P48" s="3">
        <f t="shared" si="51"/>
        <v>1297.01</v>
      </c>
      <c r="Q48" s="3">
        <f t="shared" si="40"/>
        <v>9079.07</v>
      </c>
      <c r="R48" s="3">
        <v>0.0</v>
      </c>
      <c r="S48" s="3"/>
      <c r="T48" s="3">
        <v>1218.07</v>
      </c>
      <c r="U48" s="3">
        <v>-227.42</v>
      </c>
      <c r="V48" s="3">
        <v>0.08</v>
      </c>
      <c r="W48" s="44">
        <f t="shared" si="41"/>
        <v>894.94</v>
      </c>
      <c r="X48" s="3">
        <f t="shared" si="50"/>
        <v>2829.67</v>
      </c>
      <c r="Y48" s="41">
        <f t="shared" si="43"/>
        <v>6249.4</v>
      </c>
      <c r="Z48" s="31">
        <v>440.45</v>
      </c>
      <c r="AA48" s="3">
        <f t="shared" si="44"/>
        <v>1595.32</v>
      </c>
      <c r="AB48" s="32">
        <f t="shared" si="45"/>
        <v>155.64</v>
      </c>
      <c r="AC48" s="42">
        <f t="shared" si="46"/>
        <v>2191.41</v>
      </c>
    </row>
    <row r="49" ht="15.75" customHeight="1">
      <c r="A49" s="1"/>
      <c r="B49" s="43" t="s">
        <v>120</v>
      </c>
      <c r="C49" s="2" t="s">
        <v>121</v>
      </c>
      <c r="D49" s="43" t="s">
        <v>117</v>
      </c>
      <c r="E49" s="3">
        <v>7782.06</v>
      </c>
      <c r="F49" s="28">
        <v>15.0</v>
      </c>
      <c r="G49" s="3"/>
      <c r="H49" s="3"/>
      <c r="I49" s="3"/>
      <c r="J49" s="3"/>
      <c r="K49" s="3"/>
      <c r="L49" s="3"/>
      <c r="M49" s="3"/>
      <c r="N49" s="34"/>
      <c r="O49" s="3"/>
      <c r="P49" s="3">
        <f t="shared" si="51"/>
        <v>1297.01</v>
      </c>
      <c r="Q49" s="3">
        <f t="shared" si="40"/>
        <v>9079.07</v>
      </c>
      <c r="R49" s="3">
        <v>0.0</v>
      </c>
      <c r="S49" s="3"/>
      <c r="T49" s="3">
        <v>1218.07</v>
      </c>
      <c r="U49" s="3"/>
      <c r="V49" s="3">
        <v>0.06</v>
      </c>
      <c r="W49" s="44">
        <f t="shared" si="41"/>
        <v>894.94</v>
      </c>
      <c r="X49" s="3">
        <f t="shared" si="50"/>
        <v>2113.07</v>
      </c>
      <c r="Y49" s="41">
        <f t="shared" si="43"/>
        <v>6966</v>
      </c>
      <c r="Z49" s="31">
        <v>440.45</v>
      </c>
      <c r="AA49" s="3">
        <f t="shared" si="44"/>
        <v>1595.32</v>
      </c>
      <c r="AB49" s="32">
        <f t="shared" si="45"/>
        <v>155.64</v>
      </c>
      <c r="AC49" s="42">
        <f t="shared" si="46"/>
        <v>2191.41</v>
      </c>
    </row>
    <row r="50" ht="15.75" customHeight="1">
      <c r="A50" s="1"/>
      <c r="B50" s="43" t="s">
        <v>122</v>
      </c>
      <c r="C50" s="2" t="s">
        <v>123</v>
      </c>
      <c r="D50" s="43" t="s">
        <v>117</v>
      </c>
      <c r="E50" s="3">
        <v>7782.06</v>
      </c>
      <c r="F50" s="28">
        <v>15.0</v>
      </c>
      <c r="G50" s="3"/>
      <c r="H50" s="3"/>
      <c r="I50" s="40">
        <v>2600.78</v>
      </c>
      <c r="J50" s="3"/>
      <c r="K50" s="3"/>
      <c r="L50" s="3"/>
      <c r="M50" s="3"/>
      <c r="N50" s="34"/>
      <c r="O50" s="3"/>
      <c r="P50" s="3">
        <f t="shared" si="51"/>
        <v>1297.01</v>
      </c>
      <c r="Q50" s="3">
        <f t="shared" si="40"/>
        <v>9079.07</v>
      </c>
      <c r="R50" s="3">
        <v>0.0</v>
      </c>
      <c r="S50" s="3"/>
      <c r="T50" s="3">
        <v>1218.07</v>
      </c>
      <c r="U50" s="3">
        <v>-227.42</v>
      </c>
      <c r="V50" s="3">
        <v>0.1</v>
      </c>
      <c r="W50" s="44">
        <f t="shared" si="41"/>
        <v>894.94</v>
      </c>
      <c r="X50" s="3">
        <f>SUM(T50:W50)+G50+I50</f>
        <v>4486.47</v>
      </c>
      <c r="Y50" s="41">
        <f t="shared" si="43"/>
        <v>4592.6</v>
      </c>
      <c r="Z50" s="31">
        <v>440.45</v>
      </c>
      <c r="AA50" s="3">
        <f t="shared" si="44"/>
        <v>1595.32</v>
      </c>
      <c r="AB50" s="32">
        <f t="shared" si="45"/>
        <v>155.64</v>
      </c>
      <c r="AC50" s="42">
        <f t="shared" si="46"/>
        <v>2191.41</v>
      </c>
    </row>
    <row r="51" ht="15.75" customHeight="1">
      <c r="A51" s="1"/>
      <c r="B51" s="43" t="s">
        <v>124</v>
      </c>
      <c r="C51" s="2" t="s">
        <v>44</v>
      </c>
      <c r="D51" s="43" t="s">
        <v>117</v>
      </c>
      <c r="E51" s="3"/>
      <c r="F51" s="28"/>
      <c r="G51" s="3"/>
      <c r="H51" s="3"/>
      <c r="I51" s="3"/>
      <c r="J51" s="3"/>
      <c r="K51" s="3"/>
      <c r="L51" s="3"/>
      <c r="M51" s="3"/>
      <c r="N51" s="34"/>
      <c r="O51" s="3"/>
      <c r="P51" s="3"/>
      <c r="Q51" s="3">
        <f t="shared" si="40"/>
        <v>0</v>
      </c>
      <c r="R51" s="3">
        <v>0.0</v>
      </c>
      <c r="S51" s="3"/>
      <c r="T51" s="3"/>
      <c r="U51" s="3"/>
      <c r="V51" s="3"/>
      <c r="W51" s="44">
        <f t="shared" si="41"/>
        <v>0</v>
      </c>
      <c r="X51" s="3">
        <f t="shared" ref="X51:X52" si="52">SUM(T51:W51)+G51</f>
        <v>0</v>
      </c>
      <c r="Y51" s="41">
        <f t="shared" si="43"/>
        <v>0</v>
      </c>
      <c r="Z51" s="31"/>
      <c r="AA51" s="3">
        <f t="shared" si="44"/>
        <v>0</v>
      </c>
      <c r="AB51" s="32">
        <f t="shared" si="45"/>
        <v>0</v>
      </c>
      <c r="AC51" s="42">
        <f t="shared" si="46"/>
        <v>0</v>
      </c>
    </row>
    <row r="52" ht="15.75" customHeight="1">
      <c r="A52" s="1"/>
      <c r="B52" s="43" t="s">
        <v>125</v>
      </c>
      <c r="C52" s="2" t="s">
        <v>126</v>
      </c>
      <c r="D52" s="43" t="s">
        <v>127</v>
      </c>
      <c r="E52" s="3">
        <v>4844.53</v>
      </c>
      <c r="F52" s="28">
        <v>15.0</v>
      </c>
      <c r="G52" s="3"/>
      <c r="H52" s="3"/>
      <c r="I52" s="3"/>
      <c r="J52" s="3"/>
      <c r="K52" s="3"/>
      <c r="L52" s="3"/>
      <c r="M52" s="3"/>
      <c r="N52" s="34"/>
      <c r="O52" s="3"/>
      <c r="P52" s="3">
        <f>E52/15*10*25%</f>
        <v>807.4216667</v>
      </c>
      <c r="Q52" s="3">
        <f t="shared" si="40"/>
        <v>5651.951667</v>
      </c>
      <c r="R52" s="3"/>
      <c r="S52" s="3"/>
      <c r="T52" s="3">
        <v>440.31</v>
      </c>
      <c r="U52" s="3">
        <v>-129.71</v>
      </c>
      <c r="V52" s="3">
        <v>0.03</v>
      </c>
      <c r="W52" s="44">
        <f t="shared" si="41"/>
        <v>557.12</v>
      </c>
      <c r="X52" s="3">
        <f t="shared" si="52"/>
        <v>867.75</v>
      </c>
      <c r="Y52" s="41">
        <f t="shared" si="43"/>
        <v>4784.201667</v>
      </c>
      <c r="Z52" s="31">
        <v>357.56</v>
      </c>
      <c r="AA52" s="3">
        <f t="shared" si="44"/>
        <v>993.13</v>
      </c>
      <c r="AB52" s="32">
        <f t="shared" si="45"/>
        <v>96.89</v>
      </c>
      <c r="AC52" s="42">
        <f t="shared" si="46"/>
        <v>1447.58</v>
      </c>
    </row>
    <row r="53" ht="15.75" customHeight="1">
      <c r="A53" s="1"/>
      <c r="B53" s="24" t="s">
        <v>35</v>
      </c>
      <c r="C53" s="36"/>
      <c r="D53" s="37"/>
      <c r="E53" s="38">
        <f>SUM(E35:E52)</f>
        <v>98436.47</v>
      </c>
      <c r="F53" s="38"/>
      <c r="G53" s="38">
        <f t="shared" ref="G53:O53" si="53">SUM(G35:G52)</f>
        <v>7110.75</v>
      </c>
      <c r="H53" s="38">
        <f t="shared" si="53"/>
        <v>0</v>
      </c>
      <c r="I53" s="38">
        <f t="shared" si="53"/>
        <v>5594.82</v>
      </c>
      <c r="J53" s="38">
        <f t="shared" si="53"/>
        <v>4601.4</v>
      </c>
      <c r="K53" s="38">
        <f t="shared" si="53"/>
        <v>199.13</v>
      </c>
      <c r="L53" s="38">
        <f t="shared" si="53"/>
        <v>1375.93</v>
      </c>
      <c r="M53" s="38">
        <f t="shared" si="53"/>
        <v>37.35</v>
      </c>
      <c r="N53" s="38">
        <f t="shared" si="53"/>
        <v>1.27</v>
      </c>
      <c r="O53" s="38">
        <f t="shared" si="53"/>
        <v>0</v>
      </c>
      <c r="P53" s="38">
        <f>SUM(P36:P52)</f>
        <v>15508.91937</v>
      </c>
      <c r="Q53" s="38">
        <f t="shared" ref="Q53:AC53" si="54">SUM(Q35:Q52)</f>
        <v>113944.1194</v>
      </c>
      <c r="R53" s="38">
        <f t="shared" si="54"/>
        <v>0</v>
      </c>
      <c r="S53" s="38">
        <f t="shared" si="54"/>
        <v>0</v>
      </c>
      <c r="T53" s="38">
        <f t="shared" si="54"/>
        <v>14832.99</v>
      </c>
      <c r="U53" s="38">
        <f t="shared" si="54"/>
        <v>-2403.91</v>
      </c>
      <c r="V53" s="38">
        <f t="shared" si="54"/>
        <v>0.63</v>
      </c>
      <c r="W53" s="38">
        <f t="shared" si="54"/>
        <v>11320.23</v>
      </c>
      <c r="X53" s="38">
        <f t="shared" si="54"/>
        <v>42669.32</v>
      </c>
      <c r="Y53" s="38">
        <f t="shared" si="54"/>
        <v>71274.79937</v>
      </c>
      <c r="Z53" s="38">
        <f t="shared" si="54"/>
        <v>5648.81</v>
      </c>
      <c r="AA53" s="38">
        <f t="shared" si="54"/>
        <v>20179.45</v>
      </c>
      <c r="AB53" s="38">
        <f t="shared" si="54"/>
        <v>1968.72</v>
      </c>
      <c r="AC53" s="38">
        <f t="shared" si="54"/>
        <v>27796.98</v>
      </c>
    </row>
    <row r="54" ht="15.75" customHeight="1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9"/>
      <c r="Z54" s="1"/>
      <c r="AA54" s="1"/>
      <c r="AB54" s="1"/>
      <c r="AC54" s="1"/>
    </row>
    <row r="55" ht="15.75" customHeight="1">
      <c r="A55" s="1"/>
      <c r="B55" s="24" t="s">
        <v>128</v>
      </c>
      <c r="C55" s="36" t="s">
        <v>129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9"/>
      <c r="Z55" s="1"/>
      <c r="AA55" s="1"/>
      <c r="AB55" s="1"/>
      <c r="AC55" s="1"/>
    </row>
    <row r="56" ht="15.75" customHeight="1">
      <c r="A56" s="1"/>
      <c r="B56" s="1" t="s">
        <v>130</v>
      </c>
      <c r="C56" s="2" t="s">
        <v>131</v>
      </c>
      <c r="D56" s="1" t="s">
        <v>132</v>
      </c>
      <c r="E56" s="3">
        <v>7989.28</v>
      </c>
      <c r="F56" s="28">
        <v>15.0</v>
      </c>
      <c r="G56" s="47">
        <v>1058.07</v>
      </c>
      <c r="H56" s="3"/>
      <c r="I56" s="3"/>
      <c r="J56" s="3"/>
      <c r="K56" s="3"/>
      <c r="L56" s="3"/>
      <c r="M56" s="3"/>
      <c r="N56" s="34"/>
      <c r="O56" s="3"/>
      <c r="P56" s="3">
        <f>E56/15*10*25%/184*92</f>
        <v>665.7733333</v>
      </c>
      <c r="Q56" s="3">
        <f t="shared" ref="Q56:Q61" si="55">E56+-N56+P56</f>
        <v>8655.053333</v>
      </c>
      <c r="R56" s="3"/>
      <c r="S56" s="3"/>
      <c r="T56" s="3">
        <v>1137.62</v>
      </c>
      <c r="U56" s="3"/>
      <c r="V56" s="3">
        <v>-0.01</v>
      </c>
      <c r="W56" s="29">
        <f t="shared" ref="W56:W61" si="56">ROUND(E56*0.115,2)</f>
        <v>918.77</v>
      </c>
      <c r="X56" s="3">
        <f t="shared" ref="X56:X61" si="57">SUM(T56:W56)+G56</f>
        <v>3114.45</v>
      </c>
      <c r="Y56" s="30">
        <f t="shared" ref="Y56:Y61" si="58">Q56-X56</f>
        <v>5540.603333</v>
      </c>
      <c r="Z56" s="31">
        <v>446.29</v>
      </c>
      <c r="AA56" s="3">
        <f t="shared" ref="AA56:AA61" si="59">ROUND(+E56*17.5%,2)+ROUND(E56*3%,2)</f>
        <v>1637.8</v>
      </c>
      <c r="AB56" s="32">
        <f t="shared" ref="AB56:AB61" si="60">ROUND(+E56*2%,2)</f>
        <v>159.79</v>
      </c>
      <c r="AC56" s="33">
        <f t="shared" ref="AC56:AC61" si="61">SUM(Z56:AB56)</f>
        <v>2243.88</v>
      </c>
    </row>
    <row r="57" ht="15.75" customHeight="1">
      <c r="A57" s="1"/>
      <c r="B57" s="1" t="s">
        <v>133</v>
      </c>
      <c r="C57" s="2" t="s">
        <v>134</v>
      </c>
      <c r="D57" s="1" t="s">
        <v>90</v>
      </c>
      <c r="E57" s="3">
        <v>7782.06</v>
      </c>
      <c r="F57" s="28">
        <v>15.0</v>
      </c>
      <c r="G57" s="40">
        <v>1518.83</v>
      </c>
      <c r="H57" s="3"/>
      <c r="I57" s="3"/>
      <c r="J57" s="3"/>
      <c r="K57" s="3"/>
      <c r="L57" s="3"/>
      <c r="M57" s="3"/>
      <c r="N57" s="34"/>
      <c r="O57" s="3"/>
      <c r="P57" s="3">
        <f>E57/15*10*25%</f>
        <v>1297.01</v>
      </c>
      <c r="Q57" s="3">
        <f t="shared" si="55"/>
        <v>9079.07</v>
      </c>
      <c r="R57" s="3"/>
      <c r="S57" s="3"/>
      <c r="T57" s="3">
        <v>1218.07</v>
      </c>
      <c r="U57" s="3">
        <v>-227.42</v>
      </c>
      <c r="V57" s="3">
        <v>0.05</v>
      </c>
      <c r="W57" s="29">
        <f t="shared" si="56"/>
        <v>894.94</v>
      </c>
      <c r="X57" s="3">
        <f t="shared" si="57"/>
        <v>3404.47</v>
      </c>
      <c r="Y57" s="41">
        <f t="shared" si="58"/>
        <v>5674.6</v>
      </c>
      <c r="Z57" s="31">
        <v>440.45</v>
      </c>
      <c r="AA57" s="3">
        <f t="shared" si="59"/>
        <v>1595.32</v>
      </c>
      <c r="AB57" s="32">
        <f t="shared" si="60"/>
        <v>155.64</v>
      </c>
      <c r="AC57" s="42">
        <f t="shared" si="61"/>
        <v>2191.41</v>
      </c>
    </row>
    <row r="58" ht="15.75" customHeight="1">
      <c r="A58" s="1"/>
      <c r="B58" s="1" t="s">
        <v>135</v>
      </c>
      <c r="C58" s="2" t="s">
        <v>136</v>
      </c>
      <c r="D58" s="1" t="s">
        <v>117</v>
      </c>
      <c r="E58" s="3">
        <v>7513.82</v>
      </c>
      <c r="F58" s="28">
        <v>15.0</v>
      </c>
      <c r="G58" s="3"/>
      <c r="H58" s="3"/>
      <c r="I58" s="3"/>
      <c r="J58" s="3"/>
      <c r="K58" s="3"/>
      <c r="L58" s="3"/>
      <c r="M58" s="3"/>
      <c r="N58" s="34"/>
      <c r="O58" s="3"/>
      <c r="P58" s="3">
        <f>E58/15*10*25%/184*61</f>
        <v>415.165779</v>
      </c>
      <c r="Q58" s="3">
        <f t="shared" si="55"/>
        <v>7928.985779</v>
      </c>
      <c r="R58" s="3"/>
      <c r="S58" s="3"/>
      <c r="T58" s="3">
        <v>982.53</v>
      </c>
      <c r="U58" s="3"/>
      <c r="V58" s="3">
        <v>0.17</v>
      </c>
      <c r="W58" s="29">
        <f t="shared" si="56"/>
        <v>864.09</v>
      </c>
      <c r="X58" s="3">
        <f t="shared" si="57"/>
        <v>1846.79</v>
      </c>
      <c r="Y58" s="41">
        <f t="shared" si="58"/>
        <v>6082.195779</v>
      </c>
      <c r="Z58" s="31">
        <v>432.88</v>
      </c>
      <c r="AA58" s="3">
        <f t="shared" si="59"/>
        <v>1540.33</v>
      </c>
      <c r="AB58" s="32">
        <f t="shared" si="60"/>
        <v>150.28</v>
      </c>
      <c r="AC58" s="42">
        <f t="shared" si="61"/>
        <v>2123.49</v>
      </c>
    </row>
    <row r="59" ht="15.75" customHeight="1">
      <c r="A59" s="1" t="s">
        <v>137</v>
      </c>
      <c r="B59" s="43" t="s">
        <v>138</v>
      </c>
      <c r="C59" s="2" t="s">
        <v>139</v>
      </c>
      <c r="D59" s="48" t="s">
        <v>140</v>
      </c>
      <c r="E59" s="3">
        <v>7549.4</v>
      </c>
      <c r="F59" s="28">
        <v>15.0</v>
      </c>
      <c r="G59" s="40">
        <v>770.0</v>
      </c>
      <c r="H59" s="3"/>
      <c r="I59" s="3"/>
      <c r="J59" s="3"/>
      <c r="K59" s="3"/>
      <c r="L59" s="3"/>
      <c r="M59" s="3"/>
      <c r="N59" s="34"/>
      <c r="O59" s="3"/>
      <c r="P59" s="3">
        <f>E59/15*10*25%/184*183</f>
        <v>1251.395109</v>
      </c>
      <c r="Q59" s="3">
        <f t="shared" si="55"/>
        <v>8800.795109</v>
      </c>
      <c r="R59" s="3"/>
      <c r="S59" s="3"/>
      <c r="T59" s="3">
        <v>1150.39</v>
      </c>
      <c r="U59" s="3">
        <v>-227.45</v>
      </c>
      <c r="V59" s="3">
        <v>-0.12</v>
      </c>
      <c r="W59" s="29">
        <f t="shared" si="56"/>
        <v>868.18</v>
      </c>
      <c r="X59" s="3">
        <f t="shared" si="57"/>
        <v>2561</v>
      </c>
      <c r="Y59" s="41">
        <f t="shared" si="58"/>
        <v>6239.795109</v>
      </c>
      <c r="Z59" s="31">
        <v>433.89</v>
      </c>
      <c r="AA59" s="3">
        <f t="shared" si="59"/>
        <v>1547.63</v>
      </c>
      <c r="AB59" s="32">
        <f t="shared" si="60"/>
        <v>150.99</v>
      </c>
      <c r="AC59" s="42">
        <f t="shared" si="61"/>
        <v>2132.51</v>
      </c>
    </row>
    <row r="60" ht="15.75" customHeight="1">
      <c r="A60" s="1"/>
      <c r="B60" s="43" t="s">
        <v>141</v>
      </c>
      <c r="C60" s="2" t="s">
        <v>142</v>
      </c>
      <c r="D60" s="48" t="s">
        <v>140</v>
      </c>
      <c r="E60" s="3">
        <v>7549.4</v>
      </c>
      <c r="F60" s="28">
        <v>15.0</v>
      </c>
      <c r="G60" s="3"/>
      <c r="H60" s="3"/>
      <c r="I60" s="3"/>
      <c r="J60" s="3"/>
      <c r="K60" s="3"/>
      <c r="L60" s="3"/>
      <c r="M60" s="3"/>
      <c r="N60" s="34">
        <v>10.78</v>
      </c>
      <c r="O60" s="3"/>
      <c r="P60" s="3">
        <f>E60/15*10*25%/184*174</f>
        <v>1189.851087</v>
      </c>
      <c r="Q60" s="3">
        <f t="shared" si="55"/>
        <v>8728.471087</v>
      </c>
      <c r="R60" s="3"/>
      <c r="S60" s="3"/>
      <c r="T60" s="3">
        <v>1137.24</v>
      </c>
      <c r="U60" s="3">
        <v>-1137.24</v>
      </c>
      <c r="V60" s="3">
        <v>-0.11</v>
      </c>
      <c r="W60" s="29">
        <f t="shared" si="56"/>
        <v>868.18</v>
      </c>
      <c r="X60" s="3">
        <f t="shared" si="57"/>
        <v>868.07</v>
      </c>
      <c r="Y60" s="41">
        <f t="shared" si="58"/>
        <v>7860.401087</v>
      </c>
      <c r="Z60" s="31">
        <v>433.89</v>
      </c>
      <c r="AA60" s="3">
        <f t="shared" si="59"/>
        <v>1547.63</v>
      </c>
      <c r="AB60" s="32">
        <f t="shared" si="60"/>
        <v>150.99</v>
      </c>
      <c r="AC60" s="42">
        <f t="shared" si="61"/>
        <v>2132.51</v>
      </c>
    </row>
    <row r="61" ht="15.75" customHeight="1">
      <c r="A61" s="1"/>
      <c r="B61" s="43" t="s">
        <v>143</v>
      </c>
      <c r="C61" s="2" t="s">
        <v>144</v>
      </c>
      <c r="D61" s="48" t="s">
        <v>140</v>
      </c>
      <c r="E61" s="3">
        <v>7549.4</v>
      </c>
      <c r="F61" s="28">
        <v>15.0</v>
      </c>
      <c r="G61" s="40">
        <v>2097.0</v>
      </c>
      <c r="H61" s="3"/>
      <c r="I61" s="3"/>
      <c r="J61" s="3"/>
      <c r="K61" s="3"/>
      <c r="L61" s="3"/>
      <c r="M61" s="3"/>
      <c r="N61" s="34">
        <v>22.77</v>
      </c>
      <c r="O61" s="3"/>
      <c r="P61" s="3">
        <f>E61/15*10*25%</f>
        <v>1258.233333</v>
      </c>
      <c r="Q61" s="3">
        <f t="shared" si="55"/>
        <v>8784.863333</v>
      </c>
      <c r="R61" s="3"/>
      <c r="S61" s="3"/>
      <c r="T61" s="3">
        <v>1151.84</v>
      </c>
      <c r="U61" s="3">
        <v>-227.44</v>
      </c>
      <c r="V61" s="3">
        <v>-0.12</v>
      </c>
      <c r="W61" s="29">
        <f t="shared" si="56"/>
        <v>868.18</v>
      </c>
      <c r="X61" s="3">
        <f t="shared" si="57"/>
        <v>3889.46</v>
      </c>
      <c r="Y61" s="41">
        <f t="shared" si="58"/>
        <v>4895.403333</v>
      </c>
      <c r="Z61" s="31">
        <v>433.89</v>
      </c>
      <c r="AA61" s="3">
        <f t="shared" si="59"/>
        <v>1547.63</v>
      </c>
      <c r="AB61" s="32">
        <f t="shared" si="60"/>
        <v>150.99</v>
      </c>
      <c r="AC61" s="42">
        <f t="shared" si="61"/>
        <v>2132.51</v>
      </c>
    </row>
    <row r="62" ht="15.75" customHeight="1">
      <c r="A62" s="1"/>
      <c r="B62" s="24" t="s">
        <v>35</v>
      </c>
      <c r="C62" s="36"/>
      <c r="D62" s="37"/>
      <c r="E62" s="38">
        <f>SUM(E56:E61)</f>
        <v>45933.36</v>
      </c>
      <c r="F62" s="38"/>
      <c r="G62" s="38">
        <f t="shared" ref="G62:H62" si="62">SUM(G56:G61)</f>
        <v>5443.9</v>
      </c>
      <c r="H62" s="38">
        <f t="shared" si="62"/>
        <v>0</v>
      </c>
      <c r="I62" s="38"/>
      <c r="J62" s="38"/>
      <c r="K62" s="38"/>
      <c r="L62" s="38"/>
      <c r="M62" s="38"/>
      <c r="N62" s="38">
        <f t="shared" ref="N62:AC62" si="63">SUM(N56:N61)</f>
        <v>33.55</v>
      </c>
      <c r="O62" s="38">
        <f t="shared" si="63"/>
        <v>0</v>
      </c>
      <c r="P62" s="38">
        <f t="shared" si="63"/>
        <v>6077.428641</v>
      </c>
      <c r="Q62" s="38">
        <f t="shared" si="63"/>
        <v>51977.23864</v>
      </c>
      <c r="R62" s="38">
        <f t="shared" si="63"/>
        <v>0</v>
      </c>
      <c r="S62" s="38">
        <f t="shared" si="63"/>
        <v>0</v>
      </c>
      <c r="T62" s="38">
        <f t="shared" si="63"/>
        <v>6777.69</v>
      </c>
      <c r="U62" s="38">
        <f t="shared" si="63"/>
        <v>-1819.55</v>
      </c>
      <c r="V62" s="38">
        <f t="shared" si="63"/>
        <v>-0.14</v>
      </c>
      <c r="W62" s="38">
        <f t="shared" si="63"/>
        <v>5282.34</v>
      </c>
      <c r="X62" s="38">
        <f t="shared" si="63"/>
        <v>15684.24</v>
      </c>
      <c r="Y62" s="38">
        <f t="shared" si="63"/>
        <v>36292.99864</v>
      </c>
      <c r="Z62" s="38">
        <f t="shared" si="63"/>
        <v>2621.29</v>
      </c>
      <c r="AA62" s="38">
        <f t="shared" si="63"/>
        <v>9416.34</v>
      </c>
      <c r="AB62" s="38">
        <f t="shared" si="63"/>
        <v>918.68</v>
      </c>
      <c r="AC62" s="38">
        <f t="shared" si="63"/>
        <v>12956.31</v>
      </c>
    </row>
    <row r="63" ht="15.75" customHeight="1">
      <c r="A63" s="1"/>
      <c r="B63" s="24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9"/>
      <c r="R63" s="49"/>
      <c r="S63" s="49"/>
      <c r="T63" s="49"/>
      <c r="U63" s="49"/>
      <c r="V63" s="49"/>
      <c r="W63" s="49"/>
      <c r="X63" s="49"/>
      <c r="Y63" s="50"/>
      <c r="Z63" s="51"/>
      <c r="AA63" s="51"/>
      <c r="AB63" s="51"/>
      <c r="AC63" s="51"/>
    </row>
    <row r="64" ht="15.75" customHeight="1">
      <c r="A64" s="1"/>
      <c r="B64" s="24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9"/>
      <c r="R64" s="49"/>
      <c r="S64" s="49"/>
      <c r="T64" s="49"/>
      <c r="U64" s="49"/>
      <c r="V64" s="49"/>
      <c r="W64" s="49"/>
      <c r="X64" s="49"/>
      <c r="Y64" s="50"/>
      <c r="Z64" s="51"/>
      <c r="AA64" s="51"/>
      <c r="AB64" s="51"/>
      <c r="AC64" s="5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52"/>
      <c r="Z65" s="1"/>
      <c r="AA65" s="1"/>
      <c r="AB65" s="1"/>
      <c r="AC65" s="1"/>
    </row>
    <row r="66" ht="15.75" customHeight="1">
      <c r="A66" s="1"/>
      <c r="B66" s="1"/>
      <c r="C66" s="53" t="s">
        <v>145</v>
      </c>
      <c r="D66" s="1"/>
      <c r="E66" s="54">
        <f>E9+E25+E32+E53+E62</f>
        <v>293940.97</v>
      </c>
      <c r="F66" s="54"/>
      <c r="G66" s="54">
        <f t="shared" ref="G66:AC66" si="64">G9+G25+G32+G53+G62</f>
        <v>28358.25</v>
      </c>
      <c r="H66" s="54" t="str">
        <f t="shared" si="64"/>
        <v>#REF!</v>
      </c>
      <c r="I66" s="54">
        <f t="shared" si="64"/>
        <v>5594.82</v>
      </c>
      <c r="J66" s="54">
        <f t="shared" si="64"/>
        <v>4601.4</v>
      </c>
      <c r="K66" s="54">
        <f t="shared" si="64"/>
        <v>199.13</v>
      </c>
      <c r="L66" s="54">
        <f t="shared" si="64"/>
        <v>1375.93</v>
      </c>
      <c r="M66" s="54">
        <f t="shared" si="64"/>
        <v>37.35</v>
      </c>
      <c r="N66" s="54">
        <f t="shared" si="64"/>
        <v>35.88</v>
      </c>
      <c r="O66" s="54">
        <f t="shared" si="64"/>
        <v>0</v>
      </c>
      <c r="P66" s="54">
        <f t="shared" si="64"/>
        <v>38032.17851</v>
      </c>
      <c r="Q66" s="54">
        <f t="shared" si="64"/>
        <v>331937.2685</v>
      </c>
      <c r="R66" s="54">
        <f t="shared" si="64"/>
        <v>0</v>
      </c>
      <c r="S66" s="54">
        <f t="shared" si="64"/>
        <v>0</v>
      </c>
      <c r="T66" s="54">
        <f t="shared" si="64"/>
        <v>44327.65</v>
      </c>
      <c r="U66" s="54">
        <f t="shared" si="64"/>
        <v>-5834.53</v>
      </c>
      <c r="V66" s="54">
        <f t="shared" si="64"/>
        <v>1.63</v>
      </c>
      <c r="W66" s="54">
        <f t="shared" si="64"/>
        <v>33803.26</v>
      </c>
      <c r="X66" s="54">
        <f t="shared" si="64"/>
        <v>112464.89</v>
      </c>
      <c r="Y66" s="54">
        <f t="shared" si="64"/>
        <v>219472.3785</v>
      </c>
      <c r="Z66" s="54">
        <f t="shared" si="64"/>
        <v>16466.11</v>
      </c>
      <c r="AA66" s="54">
        <f t="shared" si="64"/>
        <v>60257.8946</v>
      </c>
      <c r="AB66" s="54">
        <f t="shared" si="64"/>
        <v>5878.82</v>
      </c>
      <c r="AC66" s="54">
        <f t="shared" si="64"/>
        <v>82602.8246</v>
      </c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4"/>
      <c r="Z67" s="50"/>
      <c r="AA67" s="50"/>
      <c r="AB67" s="1"/>
      <c r="AC67" s="1"/>
    </row>
    <row r="68" ht="15.75" customHeight="1">
      <c r="A68" s="1"/>
      <c r="B68" s="1"/>
      <c r="C68" s="43" t="s">
        <v>146</v>
      </c>
      <c r="D68" s="1"/>
      <c r="E68" s="3">
        <f>E7+E8+E12+E13+E14+E15+E16+E17+E18+E19+E20+E21+E22+E23+E24+E28+E29+E30+E31+E36+E37+E38+E39+E40+E41+E42+E43+E44+E45+E46+E47+E48+E49+E50+E51+E52+E56+E57+E58+E59+E60+E61</f>
        <v>293940.97</v>
      </c>
      <c r="F68" s="3">
        <f>E68*17.5%</f>
        <v>51439.66975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55"/>
      <c r="Z68" s="1"/>
      <c r="AA68" s="3"/>
      <c r="AB68" s="1"/>
      <c r="AC68" s="1"/>
    </row>
    <row r="69" ht="15.75" customHeight="1">
      <c r="A69" s="1"/>
      <c r="B69" s="1"/>
      <c r="C69" s="43" t="s">
        <v>147</v>
      </c>
      <c r="D69" s="1"/>
      <c r="E69" s="3">
        <f>E68</f>
        <v>293940.97</v>
      </c>
      <c r="F69" s="3">
        <f>E69*3%</f>
        <v>8818.2291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1"/>
      <c r="AA69" s="1"/>
      <c r="AB69" s="1"/>
      <c r="AC69" s="1"/>
    </row>
    <row r="70" ht="15.75" customHeight="1">
      <c r="A70" s="1"/>
      <c r="B70" s="1"/>
      <c r="C70" s="1"/>
      <c r="D70" s="1"/>
      <c r="E70" s="1"/>
      <c r="F70" s="3">
        <f>SUM(F68:F69)</f>
        <v>60257.89885</v>
      </c>
      <c r="G70" s="3"/>
      <c r="H70" s="1"/>
      <c r="I70" s="1"/>
      <c r="J70" s="1"/>
      <c r="K70" s="1"/>
      <c r="L70" s="1"/>
      <c r="M70" s="1"/>
      <c r="N70" s="3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1"/>
      <c r="AA70" s="1"/>
      <c r="AB70" s="1"/>
      <c r="AC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1"/>
      <c r="AA71" s="1"/>
      <c r="AB71" s="1"/>
      <c r="AC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1"/>
      <c r="AA72" s="1"/>
      <c r="AB72" s="1"/>
      <c r="AC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1"/>
      <c r="AA73" s="1"/>
      <c r="AB73" s="1"/>
      <c r="AC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1"/>
      <c r="AA74" s="1"/>
      <c r="AB74" s="1"/>
      <c r="AC74" s="1"/>
    </row>
    <row r="75" ht="15.75" customHeight="1">
      <c r="A75" s="1"/>
      <c r="B75" s="1"/>
      <c r="C75" s="1"/>
      <c r="D75" s="1"/>
      <c r="E75" s="56"/>
      <c r="F75" s="57"/>
      <c r="G75" s="28"/>
      <c r="H75" s="28"/>
      <c r="I75" s="28"/>
      <c r="J75" s="28"/>
      <c r="K75" s="28"/>
      <c r="L75" s="28"/>
      <c r="M75" s="28"/>
      <c r="N75" s="1"/>
      <c r="O75" s="1"/>
      <c r="P75" s="1"/>
      <c r="Q75" s="1"/>
      <c r="R75" s="1"/>
      <c r="S75" s="1"/>
      <c r="T75" s="1"/>
      <c r="U75" s="1"/>
      <c r="V75" s="1"/>
      <c r="W75" s="28"/>
      <c r="Y75" s="2"/>
      <c r="Z75" s="1"/>
      <c r="AA75" s="1"/>
      <c r="AB75" s="1"/>
      <c r="AC75" s="1"/>
    </row>
    <row r="76" ht="15.75" customHeight="1">
      <c r="A76" s="1"/>
      <c r="B76" s="1"/>
      <c r="C76" s="1"/>
      <c r="D76" s="1"/>
      <c r="E76" s="28" t="s">
        <v>148</v>
      </c>
      <c r="G76" s="28"/>
      <c r="H76" s="28"/>
      <c r="I76" s="28"/>
      <c r="J76" s="28"/>
      <c r="K76" s="28"/>
      <c r="L76" s="28"/>
      <c r="M76" s="28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58" t="s">
        <v>149</v>
      </c>
      <c r="Z76" s="59"/>
      <c r="AA76" s="28"/>
      <c r="AB76" s="1"/>
      <c r="AC76" s="1"/>
    </row>
    <row r="77" ht="15.75" customHeight="1">
      <c r="A77" s="1"/>
      <c r="B77" s="1"/>
      <c r="C77" s="1"/>
      <c r="D77" s="1"/>
      <c r="E77" s="1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 t="s">
        <v>151</v>
      </c>
      <c r="Z77" s="1"/>
      <c r="AA77" s="1"/>
      <c r="AB77" s="1"/>
      <c r="AC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1"/>
      <c r="AA78" s="1"/>
      <c r="AB78" s="1"/>
      <c r="AC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1"/>
      <c r="AA79" s="1"/>
      <c r="AB79" s="1"/>
      <c r="AC79" s="1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4:AC4"/>
    <mergeCell ref="E75:F75"/>
    <mergeCell ref="W75:X75"/>
    <mergeCell ref="E76:F76"/>
    <mergeCell ref="Y76:Z76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>
      <c r="A3" s="1"/>
      <c r="B3" s="1"/>
      <c r="C3" s="1"/>
      <c r="D3" s="1"/>
      <c r="E3" s="1"/>
      <c r="F3" s="1"/>
      <c r="G3" s="3"/>
      <c r="H3" s="3"/>
      <c r="I3" s="3"/>
      <c r="J3" s="3"/>
      <c r="K3" s="3"/>
      <c r="L3" s="4"/>
    </row>
    <row r="4">
      <c r="A4" s="1"/>
      <c r="B4" s="5" t="s">
        <v>155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>
      <c r="A5" s="7"/>
      <c r="B5" s="8" t="s">
        <v>1</v>
      </c>
      <c r="C5" s="9" t="s">
        <v>2</v>
      </c>
      <c r="D5" s="10" t="s">
        <v>3</v>
      </c>
      <c r="E5" s="60" t="s">
        <v>156</v>
      </c>
      <c r="F5" s="16" t="s">
        <v>157</v>
      </c>
      <c r="G5" s="61" t="s">
        <v>158</v>
      </c>
      <c r="H5" s="18" t="s">
        <v>16</v>
      </c>
      <c r="I5" s="12" t="s">
        <v>17</v>
      </c>
      <c r="J5" s="12" t="s">
        <v>18</v>
      </c>
      <c r="K5" s="19" t="s">
        <v>19</v>
      </c>
      <c r="L5" s="22" t="s">
        <v>22</v>
      </c>
    </row>
    <row r="6">
      <c r="A6" s="1"/>
      <c r="B6" s="24" t="s">
        <v>27</v>
      </c>
      <c r="C6" s="25" t="s">
        <v>28</v>
      </c>
      <c r="D6" s="25"/>
      <c r="E6" s="24"/>
      <c r="F6" s="24"/>
      <c r="G6" s="26"/>
      <c r="H6" s="3"/>
      <c r="I6" s="3"/>
      <c r="J6" s="3"/>
      <c r="K6" s="26"/>
      <c r="L6" s="4"/>
    </row>
    <row r="7">
      <c r="A7" s="1"/>
      <c r="B7" s="1" t="s">
        <v>29</v>
      </c>
      <c r="C7" s="2" t="s">
        <v>30</v>
      </c>
      <c r="D7" s="1" t="s">
        <v>31</v>
      </c>
      <c r="E7" s="62">
        <v>44470.0</v>
      </c>
      <c r="F7" s="3">
        <v>1609.92</v>
      </c>
      <c r="G7" s="3">
        <f t="shared" ref="G7:G8" si="1">F7*50/365*92</f>
        <v>20289.40274</v>
      </c>
      <c r="H7" s="3"/>
      <c r="I7" s="3"/>
      <c r="J7" s="3">
        <v>6086.82</v>
      </c>
      <c r="K7" s="3">
        <v>-0.02</v>
      </c>
      <c r="L7" s="41">
        <f t="shared" ref="L7:L8" si="2">G7-J7-K7</f>
        <v>14202.60274</v>
      </c>
    </row>
    <row r="8">
      <c r="A8" s="1"/>
      <c r="B8" s="1" t="s">
        <v>32</v>
      </c>
      <c r="C8" s="2" t="s">
        <v>33</v>
      </c>
      <c r="D8" s="1" t="s">
        <v>34</v>
      </c>
      <c r="E8" s="62">
        <v>44470.0</v>
      </c>
      <c r="F8" s="3">
        <v>447.01</v>
      </c>
      <c r="G8" s="3">
        <f t="shared" si="1"/>
        <v>5633.550685</v>
      </c>
      <c r="H8" s="3"/>
      <c r="I8" s="3"/>
      <c r="J8" s="3">
        <v>1203.33</v>
      </c>
      <c r="K8" s="3">
        <v>0.02</v>
      </c>
      <c r="L8" s="41">
        <f t="shared" si="2"/>
        <v>4430.200685</v>
      </c>
    </row>
    <row r="9">
      <c r="A9" s="1"/>
      <c r="B9" s="35" t="s">
        <v>35</v>
      </c>
      <c r="C9" s="36"/>
      <c r="D9" s="37"/>
      <c r="E9" s="37"/>
      <c r="F9" s="37"/>
      <c r="G9" s="38">
        <f t="shared" ref="G9:L9" si="3">SUM(G7:G8)</f>
        <v>25922.95342</v>
      </c>
      <c r="H9" s="38">
        <f t="shared" si="3"/>
        <v>0</v>
      </c>
      <c r="I9" s="38">
        <f t="shared" si="3"/>
        <v>0</v>
      </c>
      <c r="J9" s="38">
        <f t="shared" si="3"/>
        <v>7290.15</v>
      </c>
      <c r="K9" s="38">
        <f t="shared" si="3"/>
        <v>0</v>
      </c>
      <c r="L9" s="38">
        <f t="shared" si="3"/>
        <v>18632.80342</v>
      </c>
    </row>
    <row r="10">
      <c r="A10" s="1"/>
      <c r="B10" s="1"/>
      <c r="C10" s="2"/>
      <c r="D10" s="1"/>
      <c r="E10" s="1"/>
      <c r="F10" s="1"/>
      <c r="G10" s="3"/>
      <c r="H10" s="3"/>
      <c r="I10" s="3"/>
      <c r="J10" s="3"/>
      <c r="K10" s="3"/>
      <c r="L10" s="39"/>
    </row>
    <row r="11">
      <c r="A11" s="1"/>
      <c r="B11" s="24" t="s">
        <v>36</v>
      </c>
      <c r="C11" s="36" t="s">
        <v>37</v>
      </c>
      <c r="D11" s="1"/>
      <c r="E11" s="1"/>
      <c r="F11" s="1"/>
      <c r="G11" s="3"/>
      <c r="H11" s="3"/>
      <c r="I11" s="3"/>
      <c r="J11" s="3"/>
      <c r="K11" s="3"/>
      <c r="L11" s="39"/>
    </row>
    <row r="12">
      <c r="A12" s="1"/>
      <c r="B12" s="1" t="s">
        <v>38</v>
      </c>
      <c r="C12" s="2" t="s">
        <v>39</v>
      </c>
      <c r="D12" s="1" t="s">
        <v>40</v>
      </c>
      <c r="E12" s="62">
        <v>44470.0</v>
      </c>
      <c r="F12" s="3">
        <v>950.0</v>
      </c>
      <c r="G12" s="3">
        <f t="shared" ref="G12:G14" si="4">F12*50/365*92</f>
        <v>11972.60274</v>
      </c>
      <c r="H12" s="3"/>
      <c r="I12" s="3"/>
      <c r="J12" s="3">
        <v>2815.96</v>
      </c>
      <c r="K12" s="3">
        <v>0.04</v>
      </c>
      <c r="L12" s="41">
        <f t="shared" ref="L12:L23" si="5">G12-J12-K12</f>
        <v>9156.60274</v>
      </c>
    </row>
    <row r="13">
      <c r="A13" s="1"/>
      <c r="B13" s="1" t="s">
        <v>41</v>
      </c>
      <c r="C13" s="2" t="s">
        <v>42</v>
      </c>
      <c r="D13" s="1" t="s">
        <v>43</v>
      </c>
      <c r="E13" s="62">
        <v>44470.0</v>
      </c>
      <c r="F13" s="3">
        <v>833.33</v>
      </c>
      <c r="G13" s="3">
        <f t="shared" si="4"/>
        <v>10502.2411</v>
      </c>
      <c r="H13" s="3"/>
      <c r="I13" s="3"/>
      <c r="J13" s="3">
        <v>2243.28</v>
      </c>
      <c r="K13" s="3">
        <v>-0.04</v>
      </c>
      <c r="L13" s="41">
        <f t="shared" si="5"/>
        <v>8259.001096</v>
      </c>
    </row>
    <row r="14">
      <c r="A14" s="1"/>
      <c r="B14" s="1" t="s">
        <v>46</v>
      </c>
      <c r="C14" s="2" t="s">
        <v>47</v>
      </c>
      <c r="D14" s="1" t="s">
        <v>48</v>
      </c>
      <c r="E14" s="62">
        <v>44470.0</v>
      </c>
      <c r="F14" s="3">
        <v>635.0</v>
      </c>
      <c r="G14" s="3">
        <f t="shared" si="4"/>
        <v>8002.739726</v>
      </c>
      <c r="H14" s="3"/>
      <c r="I14" s="3"/>
      <c r="J14" s="3">
        <v>1709.39</v>
      </c>
      <c r="K14" s="3">
        <v>-0.05</v>
      </c>
      <c r="L14" s="41">
        <f t="shared" si="5"/>
        <v>6293.399726</v>
      </c>
    </row>
    <row r="15">
      <c r="A15" s="1"/>
      <c r="B15" s="1" t="s">
        <v>49</v>
      </c>
      <c r="C15" s="2" t="s">
        <v>50</v>
      </c>
      <c r="D15" s="1" t="s">
        <v>51</v>
      </c>
      <c r="E15" s="62">
        <v>42370.0</v>
      </c>
      <c r="F15" s="3">
        <v>364.48</v>
      </c>
      <c r="G15" s="3">
        <f>F15*50/365*356</f>
        <v>17774.6411</v>
      </c>
      <c r="H15" s="3"/>
      <c r="I15" s="3"/>
      <c r="J15" s="3">
        <v>2647.53</v>
      </c>
      <c r="K15" s="3">
        <v>-0.09</v>
      </c>
      <c r="L15" s="41">
        <f t="shared" si="5"/>
        <v>15127.2011</v>
      </c>
    </row>
    <row r="16">
      <c r="A16" s="1"/>
      <c r="B16" s="43" t="s">
        <v>52</v>
      </c>
      <c r="C16" s="2" t="s">
        <v>53</v>
      </c>
      <c r="D16" s="43" t="s">
        <v>54</v>
      </c>
      <c r="E16" s="62">
        <v>43420.0</v>
      </c>
      <c r="F16" s="3">
        <v>364.48</v>
      </c>
      <c r="G16" s="3">
        <f>F16*50</f>
        <v>18224</v>
      </c>
      <c r="H16" s="3"/>
      <c r="I16" s="3"/>
      <c r="J16" s="3">
        <v>2728.06</v>
      </c>
      <c r="K16" s="3">
        <v>0.14</v>
      </c>
      <c r="L16" s="41">
        <f t="shared" si="5"/>
        <v>15495.8</v>
      </c>
    </row>
    <row r="17">
      <c r="A17" s="1"/>
      <c r="B17" s="1" t="s">
        <v>55</v>
      </c>
      <c r="C17" s="2" t="s">
        <v>56</v>
      </c>
      <c r="D17" s="1" t="s">
        <v>57</v>
      </c>
      <c r="E17" s="62">
        <v>42370.0</v>
      </c>
      <c r="F17" s="3">
        <v>322.96</v>
      </c>
      <c r="G17" s="3">
        <f>F17*50/365*363</f>
        <v>16059.51781</v>
      </c>
      <c r="H17" s="3"/>
      <c r="I17" s="3"/>
      <c r="J17" s="3">
        <v>2139.35</v>
      </c>
      <c r="K17" s="3">
        <v>-0.03</v>
      </c>
      <c r="L17" s="41">
        <f t="shared" si="5"/>
        <v>13920.19781</v>
      </c>
    </row>
    <row r="18">
      <c r="A18" s="1"/>
      <c r="B18" s="1" t="s">
        <v>58</v>
      </c>
      <c r="C18" s="2" t="s">
        <v>59</v>
      </c>
      <c r="D18" s="1" t="s">
        <v>60</v>
      </c>
      <c r="E18" s="62">
        <v>42370.0</v>
      </c>
      <c r="F18" s="3">
        <v>364.48</v>
      </c>
      <c r="G18" s="3">
        <f t="shared" ref="G18:G19" si="6">F18*50</f>
        <v>18224</v>
      </c>
      <c r="H18" s="3"/>
      <c r="I18" s="3"/>
      <c r="J18" s="3">
        <v>2728.06</v>
      </c>
      <c r="K18" s="3">
        <v>-0.06</v>
      </c>
      <c r="L18" s="41">
        <f t="shared" si="5"/>
        <v>15496</v>
      </c>
    </row>
    <row r="19">
      <c r="A19" s="1"/>
      <c r="B19" s="43" t="s">
        <v>61</v>
      </c>
      <c r="C19" s="2" t="s">
        <v>62</v>
      </c>
      <c r="D19" s="43" t="s">
        <v>57</v>
      </c>
      <c r="E19" s="62">
        <v>43405.0</v>
      </c>
      <c r="F19" s="3">
        <v>322.96</v>
      </c>
      <c r="G19" s="3">
        <f t="shared" si="6"/>
        <v>16148</v>
      </c>
      <c r="H19" s="3"/>
      <c r="I19" s="3"/>
      <c r="J19" s="3">
        <v>2153.5</v>
      </c>
      <c r="K19" s="3">
        <v>-0.1</v>
      </c>
      <c r="L19" s="41">
        <f t="shared" si="5"/>
        <v>13994.6</v>
      </c>
    </row>
    <row r="20">
      <c r="A20" s="1"/>
      <c r="B20" s="43" t="s">
        <v>63</v>
      </c>
      <c r="C20" s="2" t="s">
        <v>64</v>
      </c>
      <c r="D20" s="43" t="s">
        <v>65</v>
      </c>
      <c r="E20" s="62">
        <v>44470.0</v>
      </c>
      <c r="F20" s="3">
        <v>351.92</v>
      </c>
      <c r="G20" s="3">
        <f>F20*50/365*92</f>
        <v>4435.156164</v>
      </c>
      <c r="H20" s="3"/>
      <c r="I20" s="3"/>
      <c r="J20" s="3">
        <v>709.63</v>
      </c>
      <c r="K20" s="3">
        <v>0.13</v>
      </c>
      <c r="L20" s="41">
        <f t="shared" si="5"/>
        <v>3725.396164</v>
      </c>
    </row>
    <row r="21" ht="15.75" customHeight="1">
      <c r="A21" s="1"/>
      <c r="B21" s="43" t="s">
        <v>66</v>
      </c>
      <c r="C21" s="2" t="s">
        <v>67</v>
      </c>
      <c r="D21" s="43" t="s">
        <v>68</v>
      </c>
      <c r="E21" s="62">
        <v>44501.0</v>
      </c>
      <c r="F21" s="3">
        <v>350.0</v>
      </c>
      <c r="G21" s="3">
        <f t="shared" ref="G21:G22" si="7">F21*50/365*61</f>
        <v>2924.657534</v>
      </c>
      <c r="H21" s="3"/>
      <c r="I21" s="3"/>
      <c r="J21" s="3">
        <v>37.77</v>
      </c>
      <c r="K21" s="3">
        <v>0.09</v>
      </c>
      <c r="L21" s="41">
        <f t="shared" si="5"/>
        <v>2886.797534</v>
      </c>
    </row>
    <row r="22" ht="15.75" customHeight="1">
      <c r="A22" s="1"/>
      <c r="B22" s="43" t="s">
        <v>69</v>
      </c>
      <c r="C22" s="2" t="s">
        <v>70</v>
      </c>
      <c r="D22" s="43" t="s">
        <v>68</v>
      </c>
      <c r="E22" s="62">
        <v>44501.0</v>
      </c>
      <c r="F22" s="3">
        <v>447.0</v>
      </c>
      <c r="G22" s="3">
        <f t="shared" si="7"/>
        <v>3735.205479</v>
      </c>
      <c r="H22" s="3"/>
      <c r="I22" s="3"/>
      <c r="J22" s="3">
        <v>797.84</v>
      </c>
      <c r="K22" s="3">
        <v>-0.03</v>
      </c>
      <c r="L22" s="41">
        <f t="shared" si="5"/>
        <v>2937.395479</v>
      </c>
    </row>
    <row r="23" ht="15.75" customHeight="1">
      <c r="A23" s="1"/>
      <c r="B23" s="43" t="s">
        <v>71</v>
      </c>
      <c r="C23" s="2" t="s">
        <v>72</v>
      </c>
      <c r="D23" s="43" t="s">
        <v>159</v>
      </c>
      <c r="E23" s="62">
        <v>44523.0</v>
      </c>
      <c r="F23" s="3">
        <v>532.62</v>
      </c>
      <c r="G23" s="3">
        <f>F23*50/365*39</f>
        <v>2845.50411</v>
      </c>
      <c r="H23" s="3"/>
      <c r="I23" s="3"/>
      <c r="J23" s="3">
        <v>33.51</v>
      </c>
      <c r="K23" s="3">
        <v>-0.01</v>
      </c>
      <c r="L23" s="41">
        <f t="shared" si="5"/>
        <v>2812.00411</v>
      </c>
    </row>
    <row r="24" ht="15.75" customHeight="1">
      <c r="A24" s="1"/>
      <c r="B24" s="24" t="s">
        <v>35</v>
      </c>
      <c r="C24" s="36"/>
      <c r="D24" s="37"/>
      <c r="E24" s="37"/>
      <c r="F24" s="37"/>
      <c r="G24" s="38">
        <f>SUM(G12:G23)</f>
        <v>130848.2658</v>
      </c>
      <c r="H24" s="38">
        <f t="shared" ref="H24:I24" si="8">SUM(H12:H19)</f>
        <v>0</v>
      </c>
      <c r="I24" s="38">
        <f t="shared" si="8"/>
        <v>0</v>
      </c>
      <c r="J24" s="38">
        <f t="shared" ref="J24:L24" si="9">SUM(J12:J23)</f>
        <v>20743.88</v>
      </c>
      <c r="K24" s="38">
        <f t="shared" si="9"/>
        <v>-0.01</v>
      </c>
      <c r="L24" s="38">
        <f t="shared" si="9"/>
        <v>110104.3958</v>
      </c>
    </row>
    <row r="25" ht="15.75" customHeight="1">
      <c r="A25" s="1"/>
      <c r="B25" s="24"/>
      <c r="C25" s="2"/>
      <c r="D25" s="1"/>
      <c r="E25" s="1"/>
      <c r="F25" s="1"/>
      <c r="G25" s="3"/>
      <c r="H25" s="3"/>
      <c r="I25" s="3"/>
      <c r="J25" s="3"/>
      <c r="K25" s="3"/>
      <c r="L25" s="39"/>
    </row>
    <row r="26" ht="15.75" customHeight="1">
      <c r="A26" s="1"/>
      <c r="B26" s="24" t="s">
        <v>74</v>
      </c>
      <c r="C26" s="36" t="s">
        <v>75</v>
      </c>
      <c r="D26" s="1"/>
      <c r="E26" s="1"/>
      <c r="F26" s="1"/>
      <c r="G26" s="3"/>
      <c r="H26" s="3"/>
      <c r="I26" s="3"/>
      <c r="J26" s="3"/>
      <c r="K26" s="3"/>
      <c r="L26" s="39"/>
    </row>
    <row r="27" ht="15.75" customHeight="1">
      <c r="A27" s="1"/>
      <c r="B27" s="1" t="s">
        <v>76</v>
      </c>
      <c r="C27" s="2" t="s">
        <v>77</v>
      </c>
      <c r="D27" s="43" t="s">
        <v>78</v>
      </c>
      <c r="E27" s="62">
        <v>42767.0</v>
      </c>
      <c r="F27" s="3">
        <v>518.8</v>
      </c>
      <c r="G27" s="3">
        <f>F27*50</f>
        <v>25940</v>
      </c>
      <c r="H27" s="3"/>
      <c r="I27" s="3"/>
      <c r="J27" s="3">
        <v>4966.5</v>
      </c>
      <c r="K27" s="3">
        <v>-0.1</v>
      </c>
      <c r="L27" s="41">
        <f t="shared" ref="L27:L30" si="10">G27-J27-K27</f>
        <v>20973.6</v>
      </c>
    </row>
    <row r="28" ht="15.75" customHeight="1">
      <c r="A28" s="1"/>
      <c r="B28" s="1" t="s">
        <v>79</v>
      </c>
      <c r="C28" s="2" t="s">
        <v>80</v>
      </c>
      <c r="D28" s="43" t="s">
        <v>92</v>
      </c>
      <c r="E28" s="62">
        <v>43591.0</v>
      </c>
      <c r="F28" s="3">
        <v>518.8</v>
      </c>
      <c r="G28" s="3">
        <f>F28*50/365*364</f>
        <v>25868.93151</v>
      </c>
      <c r="H28" s="3"/>
      <c r="I28" s="3"/>
      <c r="J28" s="3">
        <v>4951.32</v>
      </c>
      <c r="K28" s="3">
        <v>0.01</v>
      </c>
      <c r="L28" s="41">
        <f t="shared" si="10"/>
        <v>20917.60151</v>
      </c>
    </row>
    <row r="29" ht="15.75" customHeight="1">
      <c r="A29" s="1"/>
      <c r="B29" s="1" t="s">
        <v>82</v>
      </c>
      <c r="C29" s="2" t="s">
        <v>83</v>
      </c>
      <c r="D29" s="1" t="s">
        <v>84</v>
      </c>
      <c r="E29" s="62">
        <v>42370.0</v>
      </c>
      <c r="F29" s="3">
        <v>518.8</v>
      </c>
      <c r="G29" s="3">
        <f>F29*50</f>
        <v>25940</v>
      </c>
      <c r="H29" s="3"/>
      <c r="I29" s="3"/>
      <c r="J29" s="3">
        <v>4966.5</v>
      </c>
      <c r="K29" s="3">
        <v>0.1</v>
      </c>
      <c r="L29" s="41">
        <f t="shared" si="10"/>
        <v>20973.4</v>
      </c>
    </row>
    <row r="30" ht="15.75" customHeight="1">
      <c r="A30" s="1"/>
      <c r="B30" s="1" t="s">
        <v>85</v>
      </c>
      <c r="C30" s="2" t="s">
        <v>86</v>
      </c>
      <c r="D30" s="43" t="s">
        <v>81</v>
      </c>
      <c r="E30" s="62">
        <v>43489.0</v>
      </c>
      <c r="F30" s="3">
        <v>518.8</v>
      </c>
      <c r="G30" s="3">
        <f>F30*50/365*364</f>
        <v>25868.93151</v>
      </c>
      <c r="H30" s="3"/>
      <c r="I30" s="3"/>
      <c r="J30" s="3">
        <v>4951.32</v>
      </c>
      <c r="K30" s="3">
        <v>-0.19</v>
      </c>
      <c r="L30" s="41">
        <f t="shared" si="10"/>
        <v>20917.80151</v>
      </c>
    </row>
    <row r="31" ht="15.75" customHeight="1">
      <c r="A31" s="1"/>
      <c r="B31" s="24" t="s">
        <v>35</v>
      </c>
      <c r="C31" s="36"/>
      <c r="D31" s="37"/>
      <c r="E31" s="37"/>
      <c r="F31" s="37"/>
      <c r="G31" s="38">
        <f t="shared" ref="G31:L31" si="11">SUM(G27:G30)</f>
        <v>103617.863</v>
      </c>
      <c r="H31" s="38">
        <f t="shared" si="11"/>
        <v>0</v>
      </c>
      <c r="I31" s="38">
        <f t="shared" si="11"/>
        <v>0</v>
      </c>
      <c r="J31" s="38">
        <f t="shared" si="11"/>
        <v>19835.64</v>
      </c>
      <c r="K31" s="38">
        <f t="shared" si="11"/>
        <v>-0.18</v>
      </c>
      <c r="L31" s="38">
        <f t="shared" si="11"/>
        <v>83782.40301</v>
      </c>
    </row>
    <row r="32" ht="15.75" customHeight="1">
      <c r="A32" s="1"/>
      <c r="B32" s="1"/>
      <c r="C32" s="2"/>
      <c r="D32" s="1"/>
      <c r="E32" s="1"/>
      <c r="F32" s="1"/>
      <c r="G32" s="3"/>
      <c r="H32" s="3"/>
      <c r="I32" s="3"/>
      <c r="J32" s="3"/>
      <c r="K32" s="3"/>
      <c r="L32" s="39"/>
    </row>
    <row r="33" ht="15.75" customHeight="1">
      <c r="A33" s="1"/>
      <c r="B33" s="24" t="s">
        <v>87</v>
      </c>
      <c r="C33" s="36" t="s">
        <v>88</v>
      </c>
      <c r="D33" s="1"/>
      <c r="E33" s="1"/>
      <c r="F33" s="1"/>
      <c r="G33" s="3"/>
      <c r="H33" s="3"/>
      <c r="I33" s="3"/>
      <c r="J33" s="3"/>
      <c r="K33" s="3"/>
      <c r="L33" s="39"/>
    </row>
    <row r="34" ht="15.75" customHeight="1">
      <c r="A34" s="1"/>
      <c r="B34" s="1" t="s">
        <v>89</v>
      </c>
      <c r="C34" s="2"/>
      <c r="D34" s="43" t="s">
        <v>90</v>
      </c>
      <c r="G34" s="3"/>
      <c r="H34" s="3"/>
      <c r="I34" s="3"/>
      <c r="J34" s="3"/>
      <c r="K34" s="3"/>
      <c r="L34" s="45"/>
    </row>
    <row r="35" ht="15.75" customHeight="1">
      <c r="A35" s="1"/>
      <c r="B35" s="43" t="s">
        <v>89</v>
      </c>
      <c r="C35" s="2" t="s">
        <v>91</v>
      </c>
      <c r="D35" s="43" t="s">
        <v>92</v>
      </c>
      <c r="E35" s="62">
        <v>43374.0</v>
      </c>
      <c r="F35" s="3">
        <v>518.8</v>
      </c>
      <c r="G35" s="3">
        <f>F35*50/365*364</f>
        <v>25868.93151</v>
      </c>
      <c r="H35" s="3"/>
      <c r="I35" s="3"/>
      <c r="J35" s="3">
        <v>4951.32</v>
      </c>
      <c r="K35" s="3">
        <v>0.01</v>
      </c>
      <c r="L35" s="41">
        <f t="shared" ref="L35:L51" si="12">G35-J35-K35</f>
        <v>20917.60151</v>
      </c>
    </row>
    <row r="36" ht="15.75" customHeight="1">
      <c r="A36" s="1"/>
      <c r="B36" s="1" t="s">
        <v>93</v>
      </c>
      <c r="C36" s="2" t="s">
        <v>94</v>
      </c>
      <c r="D36" s="43" t="s">
        <v>81</v>
      </c>
      <c r="E36" s="62">
        <v>43601.0</v>
      </c>
      <c r="F36" s="3">
        <v>518.8</v>
      </c>
      <c r="G36" s="3">
        <f>F36*50</f>
        <v>25940</v>
      </c>
      <c r="H36" s="3"/>
      <c r="I36" s="3"/>
      <c r="J36" s="3">
        <v>4966.5</v>
      </c>
      <c r="K36" s="3">
        <v>-0.1</v>
      </c>
      <c r="L36" s="41">
        <f t="shared" si="12"/>
        <v>20973.6</v>
      </c>
    </row>
    <row r="37" ht="15.75" customHeight="1">
      <c r="A37" s="1"/>
      <c r="B37" s="1" t="s">
        <v>95</v>
      </c>
      <c r="C37" s="2" t="s">
        <v>96</v>
      </c>
      <c r="D37" s="1" t="s">
        <v>97</v>
      </c>
      <c r="E37" s="62">
        <v>44501.0</v>
      </c>
      <c r="F37" s="3">
        <v>532.62</v>
      </c>
      <c r="G37" s="3">
        <f>F37*50/365*61</f>
        <v>4450.660274</v>
      </c>
      <c r="H37" s="3"/>
      <c r="I37" s="3"/>
      <c r="J37" s="3">
        <v>376.38</v>
      </c>
      <c r="K37" s="3">
        <v>0.08</v>
      </c>
      <c r="L37" s="41">
        <f t="shared" si="12"/>
        <v>4074.200274</v>
      </c>
    </row>
    <row r="38" ht="15.75" customHeight="1">
      <c r="A38" s="1"/>
      <c r="B38" s="1" t="s">
        <v>98</v>
      </c>
      <c r="C38" s="2" t="s">
        <v>99</v>
      </c>
      <c r="D38" s="1" t="s">
        <v>100</v>
      </c>
      <c r="E38" s="62">
        <v>42767.0</v>
      </c>
      <c r="F38" s="3">
        <v>518.8</v>
      </c>
      <c r="G38" s="3">
        <f t="shared" ref="G38:G39" si="13">F38*50</f>
        <v>25940</v>
      </c>
      <c r="H38" s="3"/>
      <c r="I38" s="3"/>
      <c r="J38" s="3">
        <v>4966.5</v>
      </c>
      <c r="K38" s="3">
        <v>0.1</v>
      </c>
      <c r="L38" s="41">
        <f t="shared" si="12"/>
        <v>20973.4</v>
      </c>
    </row>
    <row r="39" ht="15.75" customHeight="1">
      <c r="A39" s="1"/>
      <c r="B39" s="1" t="s">
        <v>101</v>
      </c>
      <c r="C39" s="2" t="s">
        <v>102</v>
      </c>
      <c r="D39" s="1" t="s">
        <v>103</v>
      </c>
      <c r="E39" s="62">
        <v>42370.0</v>
      </c>
      <c r="F39" s="3">
        <v>518.8</v>
      </c>
      <c r="G39" s="3">
        <f t="shared" si="13"/>
        <v>25940</v>
      </c>
      <c r="H39" s="3"/>
      <c r="I39" s="3"/>
      <c r="J39" s="3">
        <v>4966.5</v>
      </c>
      <c r="K39" s="3">
        <v>-0.1</v>
      </c>
      <c r="L39" s="41">
        <f t="shared" si="12"/>
        <v>20973.6</v>
      </c>
    </row>
    <row r="40" ht="15.75" customHeight="1">
      <c r="A40" s="1"/>
      <c r="B40" s="1" t="s">
        <v>104</v>
      </c>
      <c r="C40" s="2" t="s">
        <v>44</v>
      </c>
      <c r="D40" s="1" t="s">
        <v>103</v>
      </c>
      <c r="E40" s="62"/>
      <c r="F40" s="3"/>
      <c r="G40" s="3"/>
      <c r="H40" s="3"/>
      <c r="I40" s="3"/>
      <c r="J40" s="3"/>
      <c r="K40" s="3"/>
      <c r="L40" s="41">
        <f t="shared" si="12"/>
        <v>0</v>
      </c>
    </row>
    <row r="41" ht="15.75" customHeight="1">
      <c r="A41" s="1"/>
      <c r="B41" s="1" t="s">
        <v>105</v>
      </c>
      <c r="C41" s="2" t="s">
        <v>44</v>
      </c>
      <c r="D41" s="1" t="s">
        <v>103</v>
      </c>
      <c r="E41" s="62"/>
      <c r="F41" s="3"/>
      <c r="G41" s="3">
        <f t="shared" ref="G41:G49" si="14">F41*50</f>
        <v>0</v>
      </c>
      <c r="H41" s="3"/>
      <c r="I41" s="3"/>
      <c r="J41" s="3"/>
      <c r="K41" s="3"/>
      <c r="L41" s="41">
        <f t="shared" si="12"/>
        <v>0</v>
      </c>
    </row>
    <row r="42" ht="15.75" customHeight="1">
      <c r="A42" s="1"/>
      <c r="B42" s="43" t="s">
        <v>106</v>
      </c>
      <c r="C42" s="2" t="s">
        <v>107</v>
      </c>
      <c r="D42" s="43" t="s">
        <v>108</v>
      </c>
      <c r="E42" s="62">
        <v>42370.0</v>
      </c>
      <c r="F42" s="3">
        <v>518.8</v>
      </c>
      <c r="G42" s="3">
        <f t="shared" si="14"/>
        <v>25940</v>
      </c>
      <c r="H42" s="3"/>
      <c r="I42" s="3"/>
      <c r="J42" s="3">
        <v>4966.5</v>
      </c>
      <c r="K42" s="3">
        <v>-0.1</v>
      </c>
      <c r="L42" s="41">
        <f t="shared" si="12"/>
        <v>20973.6</v>
      </c>
    </row>
    <row r="43" ht="15.75" customHeight="1">
      <c r="A43" s="1"/>
      <c r="B43" s="1" t="s">
        <v>109</v>
      </c>
      <c r="C43" s="2" t="s">
        <v>110</v>
      </c>
      <c r="D43" s="1" t="s">
        <v>108</v>
      </c>
      <c r="E43" s="62">
        <v>42370.0</v>
      </c>
      <c r="F43" s="3">
        <v>518.8</v>
      </c>
      <c r="G43" s="3">
        <f t="shared" si="14"/>
        <v>25940</v>
      </c>
      <c r="H43" s="3"/>
      <c r="I43" s="3"/>
      <c r="J43" s="3">
        <v>4966.5</v>
      </c>
      <c r="K43" s="3">
        <v>0.1</v>
      </c>
      <c r="L43" s="41">
        <f t="shared" si="12"/>
        <v>20973.4</v>
      </c>
    </row>
    <row r="44" ht="15.75" customHeight="1">
      <c r="A44" s="1"/>
      <c r="B44" s="1" t="s">
        <v>111</v>
      </c>
      <c r="C44" s="2" t="s">
        <v>44</v>
      </c>
      <c r="D44" s="1" t="s">
        <v>112</v>
      </c>
      <c r="E44" s="62"/>
      <c r="F44" s="3"/>
      <c r="G44" s="3">
        <f t="shared" si="14"/>
        <v>0</v>
      </c>
      <c r="H44" s="3"/>
      <c r="I44" s="3"/>
      <c r="J44" s="3"/>
      <c r="K44" s="3"/>
      <c r="L44" s="41">
        <f t="shared" si="12"/>
        <v>0</v>
      </c>
    </row>
    <row r="45" ht="15.75" customHeight="1">
      <c r="A45" s="1"/>
      <c r="B45" s="1" t="s">
        <v>113</v>
      </c>
      <c r="C45" s="2" t="s">
        <v>114</v>
      </c>
      <c r="D45" s="1" t="s">
        <v>112</v>
      </c>
      <c r="E45" s="62">
        <v>43395.0</v>
      </c>
      <c r="F45" s="3">
        <v>518.8</v>
      </c>
      <c r="G45" s="3">
        <f t="shared" si="14"/>
        <v>25940</v>
      </c>
      <c r="H45" s="3"/>
      <c r="I45" s="3"/>
      <c r="J45" s="3">
        <v>4966.5</v>
      </c>
      <c r="K45" s="3">
        <v>0.1</v>
      </c>
      <c r="L45" s="41">
        <f t="shared" si="12"/>
        <v>20973.4</v>
      </c>
    </row>
    <row r="46" ht="15.75" customHeight="1">
      <c r="A46" s="1"/>
      <c r="B46" s="43" t="s">
        <v>115</v>
      </c>
      <c r="C46" s="2" t="s">
        <v>116</v>
      </c>
      <c r="D46" s="43" t="s">
        <v>117</v>
      </c>
      <c r="E46" s="62">
        <v>43206.0</v>
      </c>
      <c r="F46" s="3">
        <v>518.8</v>
      </c>
      <c r="G46" s="3">
        <f t="shared" si="14"/>
        <v>25940</v>
      </c>
      <c r="H46" s="3"/>
      <c r="I46" s="3"/>
      <c r="J46" s="3">
        <v>4966.5</v>
      </c>
      <c r="K46" s="3">
        <v>0.1</v>
      </c>
      <c r="L46" s="41">
        <f t="shared" si="12"/>
        <v>20973.4</v>
      </c>
    </row>
    <row r="47" ht="15.75" customHeight="1">
      <c r="A47" s="1"/>
      <c r="B47" s="43" t="s">
        <v>118</v>
      </c>
      <c r="C47" s="2" t="s">
        <v>119</v>
      </c>
      <c r="D47" s="43" t="s">
        <v>117</v>
      </c>
      <c r="E47" s="62">
        <v>43206.0</v>
      </c>
      <c r="F47" s="3">
        <v>518.8</v>
      </c>
      <c r="G47" s="3">
        <f t="shared" si="14"/>
        <v>25940</v>
      </c>
      <c r="H47" s="3"/>
      <c r="I47" s="3"/>
      <c r="J47" s="3">
        <v>4966.5</v>
      </c>
      <c r="K47" s="3">
        <v>-0.1</v>
      </c>
      <c r="L47" s="41">
        <f t="shared" si="12"/>
        <v>20973.6</v>
      </c>
    </row>
    <row r="48" ht="15.75" customHeight="1">
      <c r="A48" s="1"/>
      <c r="B48" s="43" t="s">
        <v>120</v>
      </c>
      <c r="C48" s="2" t="s">
        <v>121</v>
      </c>
      <c r="D48" s="43" t="s">
        <v>117</v>
      </c>
      <c r="E48" s="62">
        <v>43206.0</v>
      </c>
      <c r="F48" s="3">
        <v>518.8</v>
      </c>
      <c r="G48" s="3">
        <f t="shared" si="14"/>
        <v>25940</v>
      </c>
      <c r="H48" s="3"/>
      <c r="I48" s="3"/>
      <c r="J48" s="3">
        <v>4966.5</v>
      </c>
      <c r="K48" s="3">
        <v>0.1</v>
      </c>
      <c r="L48" s="41">
        <f t="shared" si="12"/>
        <v>20973.4</v>
      </c>
    </row>
    <row r="49" ht="15.75" customHeight="1">
      <c r="A49" s="1"/>
      <c r="B49" s="43" t="s">
        <v>122</v>
      </c>
      <c r="C49" s="2" t="s">
        <v>123</v>
      </c>
      <c r="D49" s="43" t="s">
        <v>117</v>
      </c>
      <c r="E49" s="62">
        <v>43466.0</v>
      </c>
      <c r="F49" s="3">
        <v>518.8</v>
      </c>
      <c r="G49" s="3">
        <f t="shared" si="14"/>
        <v>25940</v>
      </c>
      <c r="H49" s="3"/>
      <c r="I49" s="3"/>
      <c r="J49" s="3">
        <v>4966.5</v>
      </c>
      <c r="K49" s="3">
        <v>0.1</v>
      </c>
      <c r="L49" s="41">
        <f t="shared" si="12"/>
        <v>20973.4</v>
      </c>
    </row>
    <row r="50" ht="15.75" customHeight="1">
      <c r="A50" s="1"/>
      <c r="B50" s="43" t="s">
        <v>124</v>
      </c>
      <c r="C50" s="2" t="s">
        <v>44</v>
      </c>
      <c r="D50" s="43" t="s">
        <v>117</v>
      </c>
      <c r="E50" s="62"/>
      <c r="F50" s="3"/>
      <c r="G50" s="3"/>
      <c r="H50" s="3"/>
      <c r="I50" s="3"/>
      <c r="J50" s="3"/>
      <c r="K50" s="3"/>
      <c r="L50" s="41">
        <f t="shared" si="12"/>
        <v>0</v>
      </c>
    </row>
    <row r="51" ht="15.75" customHeight="1">
      <c r="A51" s="1"/>
      <c r="B51" s="43" t="s">
        <v>125</v>
      </c>
      <c r="C51" s="2" t="s">
        <v>126</v>
      </c>
      <c r="D51" s="43" t="s">
        <v>127</v>
      </c>
      <c r="E51" s="62">
        <v>43405.0</v>
      </c>
      <c r="F51" s="3">
        <v>322.96</v>
      </c>
      <c r="G51" s="3">
        <f>F51*50</f>
        <v>16148</v>
      </c>
      <c r="H51" s="3"/>
      <c r="I51" s="3"/>
      <c r="J51" s="3">
        <v>2153.5</v>
      </c>
      <c r="K51" s="3">
        <v>0.1</v>
      </c>
      <c r="L51" s="41">
        <f t="shared" si="12"/>
        <v>13994.4</v>
      </c>
    </row>
    <row r="52" ht="15.75" customHeight="1">
      <c r="A52" s="1"/>
      <c r="B52" s="24" t="s">
        <v>35</v>
      </c>
      <c r="C52" s="36"/>
      <c r="D52" s="37"/>
      <c r="E52" s="37"/>
      <c r="F52" s="37"/>
      <c r="G52" s="38">
        <f t="shared" ref="G52:L52" si="15">SUM(G34:G51)</f>
        <v>305867.5918</v>
      </c>
      <c r="H52" s="38">
        <f t="shared" si="15"/>
        <v>0</v>
      </c>
      <c r="I52" s="38">
        <f t="shared" si="15"/>
        <v>0</v>
      </c>
      <c r="J52" s="38">
        <f t="shared" si="15"/>
        <v>57146.2</v>
      </c>
      <c r="K52" s="38">
        <f t="shared" si="15"/>
        <v>0.39</v>
      </c>
      <c r="L52" s="38">
        <f t="shared" si="15"/>
        <v>248721.0018</v>
      </c>
    </row>
    <row r="53" ht="15.75" customHeight="1">
      <c r="A53" s="1"/>
      <c r="B53" s="1"/>
      <c r="C53" s="2"/>
      <c r="D53" s="1"/>
      <c r="E53" s="1"/>
      <c r="F53" s="1"/>
      <c r="G53" s="3"/>
      <c r="H53" s="3"/>
      <c r="I53" s="3"/>
      <c r="J53" s="3"/>
      <c r="K53" s="3"/>
      <c r="L53" s="39"/>
    </row>
    <row r="54" ht="15.75" customHeight="1">
      <c r="A54" s="1"/>
      <c r="B54" s="24" t="s">
        <v>128</v>
      </c>
      <c r="C54" s="36" t="s">
        <v>129</v>
      </c>
      <c r="D54" s="1"/>
      <c r="E54" s="1"/>
      <c r="F54" s="1"/>
      <c r="G54" s="3"/>
      <c r="H54" s="3"/>
      <c r="I54" s="3"/>
      <c r="J54" s="3"/>
      <c r="K54" s="3"/>
      <c r="L54" s="39"/>
    </row>
    <row r="55" ht="15.75" customHeight="1">
      <c r="A55" s="1"/>
      <c r="B55" s="1" t="s">
        <v>130</v>
      </c>
      <c r="C55" s="2" t="s">
        <v>131</v>
      </c>
      <c r="D55" s="1" t="s">
        <v>132</v>
      </c>
      <c r="E55" s="62">
        <v>44470.0</v>
      </c>
      <c r="F55" s="3">
        <v>532.62</v>
      </c>
      <c r="G55" s="3">
        <f>F55*50/365*92</f>
        <v>6712.471233</v>
      </c>
      <c r="H55" s="3"/>
      <c r="I55" s="3"/>
      <c r="J55" s="3">
        <v>1433.78</v>
      </c>
      <c r="K55" s="3">
        <v>0.09</v>
      </c>
      <c r="L55" s="41">
        <f t="shared" ref="L55:L60" si="16">G55-J55-K55</f>
        <v>5278.601233</v>
      </c>
    </row>
    <row r="56" ht="15.75" customHeight="1">
      <c r="A56" s="1"/>
      <c r="B56" s="1" t="s">
        <v>133</v>
      </c>
      <c r="C56" s="2" t="s">
        <v>134</v>
      </c>
      <c r="D56" s="1" t="s">
        <v>90</v>
      </c>
      <c r="E56" s="62">
        <v>43206.0</v>
      </c>
      <c r="F56" s="3">
        <v>518.8</v>
      </c>
      <c r="G56" s="3">
        <f>F56*50</f>
        <v>25940</v>
      </c>
      <c r="H56" s="3"/>
      <c r="I56" s="3"/>
      <c r="J56" s="3">
        <v>4966.5</v>
      </c>
      <c r="K56" s="3">
        <v>-0.1</v>
      </c>
      <c r="L56" s="41">
        <f t="shared" si="16"/>
        <v>20973.6</v>
      </c>
    </row>
    <row r="57" ht="15.75" customHeight="1">
      <c r="A57" s="1"/>
      <c r="B57" s="1" t="s">
        <v>135</v>
      </c>
      <c r="C57" s="2" t="s">
        <v>136</v>
      </c>
      <c r="D57" s="1" t="s">
        <v>117</v>
      </c>
      <c r="E57" s="62">
        <v>44501.0</v>
      </c>
      <c r="F57" s="43">
        <v>500.92</v>
      </c>
      <c r="G57" s="3">
        <f>F57*50/365*61</f>
        <v>4185.769863</v>
      </c>
      <c r="H57" s="3"/>
      <c r="I57" s="3"/>
      <c r="J57" s="3">
        <v>894.08</v>
      </c>
      <c r="K57" s="3">
        <v>-0.11</v>
      </c>
      <c r="L57" s="41">
        <f t="shared" si="16"/>
        <v>3291.799863</v>
      </c>
    </row>
    <row r="58" ht="15.75" customHeight="1">
      <c r="A58" s="1" t="s">
        <v>137</v>
      </c>
      <c r="B58" s="43" t="s">
        <v>138</v>
      </c>
      <c r="C58" s="2" t="s">
        <v>139</v>
      </c>
      <c r="D58" s="48" t="s">
        <v>140</v>
      </c>
      <c r="E58" s="63">
        <v>43328.0</v>
      </c>
      <c r="F58" s="48">
        <v>503.3</v>
      </c>
      <c r="G58" s="3">
        <f>F58*50/365*364</f>
        <v>25096.05479</v>
      </c>
      <c r="H58" s="3"/>
      <c r="I58" s="3"/>
      <c r="J58" s="3">
        <v>4786.23</v>
      </c>
      <c r="K58" s="3">
        <v>0.02</v>
      </c>
      <c r="L58" s="41">
        <f t="shared" si="16"/>
        <v>20309.80479</v>
      </c>
    </row>
    <row r="59" ht="15.75" customHeight="1">
      <c r="A59" s="1"/>
      <c r="B59" s="43" t="s">
        <v>141</v>
      </c>
      <c r="C59" s="2" t="s">
        <v>142</v>
      </c>
      <c r="D59" s="48" t="s">
        <v>140</v>
      </c>
      <c r="E59" s="63">
        <v>43374.0</v>
      </c>
      <c r="F59" s="48">
        <v>503.3</v>
      </c>
      <c r="G59" s="3">
        <f>F59*50/365*355</f>
        <v>24475.54795</v>
      </c>
      <c r="H59" s="3"/>
      <c r="I59" s="3"/>
      <c r="J59" s="3">
        <v>4653.69</v>
      </c>
      <c r="K59" s="3">
        <v>0.06</v>
      </c>
      <c r="L59" s="41">
        <f t="shared" si="16"/>
        <v>19821.79795</v>
      </c>
    </row>
    <row r="60" ht="15.75" customHeight="1">
      <c r="A60" s="1"/>
      <c r="B60" s="43" t="s">
        <v>143</v>
      </c>
      <c r="C60" s="2" t="s">
        <v>144</v>
      </c>
      <c r="D60" s="48" t="s">
        <v>140</v>
      </c>
      <c r="E60" s="63">
        <v>43206.0</v>
      </c>
      <c r="F60" s="48">
        <v>503.3</v>
      </c>
      <c r="G60" s="3">
        <f>F60*50</f>
        <v>25165</v>
      </c>
      <c r="H60" s="3"/>
      <c r="I60" s="3"/>
      <c r="J60" s="3">
        <v>4800.96</v>
      </c>
      <c r="K60" s="3">
        <v>0.04</v>
      </c>
      <c r="L60" s="41">
        <f t="shared" si="16"/>
        <v>20364</v>
      </c>
    </row>
    <row r="61" ht="15.75" customHeight="1">
      <c r="A61" s="1"/>
      <c r="B61" s="24" t="s">
        <v>35</v>
      </c>
      <c r="C61" s="36"/>
      <c r="D61" s="37"/>
      <c r="E61" s="37"/>
      <c r="F61" s="37"/>
      <c r="G61" s="38">
        <f t="shared" ref="G61:L61" si="17">SUM(G55:G60)</f>
        <v>111574.8438</v>
      </c>
      <c r="H61" s="38">
        <f t="shared" si="17"/>
        <v>0</v>
      </c>
      <c r="I61" s="38">
        <f t="shared" si="17"/>
        <v>0</v>
      </c>
      <c r="J61" s="38">
        <f t="shared" si="17"/>
        <v>21535.24</v>
      </c>
      <c r="K61" s="38">
        <f t="shared" si="17"/>
        <v>0</v>
      </c>
      <c r="L61" s="38">
        <f t="shared" si="17"/>
        <v>90039.60384</v>
      </c>
    </row>
    <row r="62" ht="15.75" customHeight="1">
      <c r="A62" s="1"/>
      <c r="B62" s="24"/>
      <c r="C62" s="2"/>
      <c r="D62" s="1"/>
      <c r="E62" s="1"/>
      <c r="F62" s="1"/>
      <c r="G62" s="3"/>
      <c r="H62" s="49"/>
      <c r="I62" s="49"/>
      <c r="J62" s="49"/>
      <c r="K62" s="49"/>
      <c r="L62" s="50"/>
    </row>
    <row r="63" ht="15.75" customHeight="1">
      <c r="A63" s="1"/>
      <c r="B63" s="24"/>
      <c r="C63" s="1"/>
      <c r="D63" s="1"/>
      <c r="E63" s="1"/>
      <c r="F63" s="1"/>
      <c r="G63" s="3"/>
      <c r="H63" s="49"/>
      <c r="I63" s="49"/>
      <c r="J63" s="49"/>
      <c r="K63" s="49"/>
      <c r="L63" s="50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52"/>
    </row>
    <row r="65" ht="15.75" customHeight="1">
      <c r="A65" s="1"/>
      <c r="B65" s="1"/>
      <c r="C65" s="53" t="s">
        <v>145</v>
      </c>
      <c r="D65" s="1"/>
      <c r="E65" s="1"/>
      <c r="F65" s="1"/>
      <c r="G65" s="50">
        <f t="shared" ref="G65:L65" si="18">G9+G24+G31+G52+G61</f>
        <v>677831.5178</v>
      </c>
      <c r="H65" s="50">
        <f t="shared" si="18"/>
        <v>0</v>
      </c>
      <c r="I65" s="50">
        <f t="shared" si="18"/>
        <v>0</v>
      </c>
      <c r="J65" s="50">
        <f t="shared" si="18"/>
        <v>126551.11</v>
      </c>
      <c r="K65" s="50">
        <f t="shared" si="18"/>
        <v>0.2</v>
      </c>
      <c r="L65" s="50">
        <f t="shared" si="18"/>
        <v>551280.2078</v>
      </c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</row>
    <row r="67" ht="15.75" customHeight="1">
      <c r="A67" s="1"/>
      <c r="B67" s="1"/>
      <c r="D67" s="1"/>
      <c r="E67" s="1"/>
      <c r="F67" s="1"/>
      <c r="G67" s="3"/>
      <c r="H67" s="1"/>
      <c r="I67" s="1"/>
      <c r="J67" s="1"/>
      <c r="K67" s="1"/>
      <c r="L67" s="2"/>
    </row>
    <row r="68" ht="15.75" customHeight="1">
      <c r="A68" s="1"/>
      <c r="B68" s="1"/>
      <c r="D68" s="1"/>
      <c r="E68" s="1"/>
      <c r="F68" s="1"/>
      <c r="G68" s="3"/>
      <c r="H68" s="1"/>
      <c r="I68" s="1"/>
      <c r="J68" s="1"/>
      <c r="K68" s="1"/>
      <c r="L68" s="2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</row>
    <row r="74" ht="15.75" customHeight="1">
      <c r="A74" s="1"/>
      <c r="B74" s="1"/>
      <c r="C74" s="56"/>
      <c r="D74" s="1"/>
      <c r="E74" s="1"/>
      <c r="F74" s="1"/>
      <c r="G74" s="56"/>
      <c r="H74" s="1"/>
      <c r="I74" s="1"/>
      <c r="J74" s="2"/>
      <c r="K74" s="1"/>
      <c r="L74" s="64"/>
    </row>
    <row r="75" ht="15.75" customHeight="1">
      <c r="A75" s="1"/>
      <c r="B75" s="1"/>
      <c r="C75" s="28" t="s">
        <v>148</v>
      </c>
      <c r="D75" s="1"/>
      <c r="E75" s="1"/>
      <c r="F75" s="1"/>
      <c r="G75" s="28"/>
      <c r="H75" s="1"/>
      <c r="I75" s="1"/>
      <c r="J75" s="58" t="s">
        <v>149</v>
      </c>
      <c r="K75" s="1"/>
      <c r="L75" s="65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2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</row>
    <row r="79" ht="15.75" customHeight="1">
      <c r="A79" s="1"/>
      <c r="B79" s="1"/>
      <c r="C79" s="1" t="s">
        <v>160</v>
      </c>
      <c r="D79" s="1"/>
      <c r="E79" s="1"/>
      <c r="F79" s="1"/>
      <c r="G79" s="1"/>
      <c r="H79" s="1"/>
      <c r="I79" s="1"/>
      <c r="J79" s="1"/>
      <c r="K79" s="1"/>
      <c r="L79" s="2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</row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4:L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2022-01-12T17:30:28Z</dcterms:created>
  <dc:creator>Usuario</dc:creator>
</cp:coreProperties>
</file>